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843757B-6E32-45CE-AD78-172CD33DA831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By FTE" sheetId="1" state="hidden" r:id="rId1"/>
    <sheet name="CO worksheet" sheetId="2" r:id="rId2"/>
    <sheet name="DA by FTE" sheetId="3" state="hidden" r:id="rId3"/>
    <sheet name="DA worksheet" sheetId="4" r:id="rId4"/>
    <sheet name="SO by FTE" sheetId="5" state="hidden" r:id="rId5"/>
    <sheet name="SO Worksheet" sheetId="6" r:id="rId6"/>
    <sheet name="CO History" sheetId="7" r:id="rId7"/>
    <sheet name="DA History" sheetId="8" r:id="rId8"/>
    <sheet name="SO History" sheetId="9" r:id="rId9"/>
  </sheets>
  <definedNames>
    <definedName name="_xlnm._FilterDatabase" localSheetId="0" hidden="1">'By FTE'!$A$1:$O$1</definedName>
    <definedName name="_xlnm._FilterDatabase" localSheetId="1" hidden="1">'CO worksheet'!$A$1:$O$1</definedName>
    <definedName name="_xlnm._FilterDatabase" localSheetId="2" hidden="1">'DA by FTE'!$A$1:$O$1</definedName>
    <definedName name="_xlnm._FilterDatabase" localSheetId="3" hidden="1">'DA worksheet'!$A$1:$O$1</definedName>
    <definedName name="_xlnm._FilterDatabase" localSheetId="4" hidden="1">'SO by FTE'!$A$1:$N$1</definedName>
    <definedName name="_xlnm._FilterDatabase" localSheetId="5" hidden="1">'SO Worksheet'!$A$1:$O$1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O20" i="6"/>
  <c r="M20" i="6"/>
  <c r="M5" i="6"/>
  <c r="M4" i="6"/>
  <c r="O20" i="2"/>
  <c r="O7" i="6"/>
  <c r="O5" i="6"/>
  <c r="O6" i="6"/>
  <c r="O4" i="6"/>
  <c r="O3" i="6"/>
  <c r="O2" i="6"/>
  <c r="M3" i="2"/>
  <c r="O7" i="2"/>
  <c r="O6" i="2"/>
  <c r="O4" i="2"/>
  <c r="O3" i="2"/>
  <c r="O2" i="2"/>
  <c r="D7" i="6"/>
  <c r="C16" i="6"/>
  <c r="C15" i="6"/>
  <c r="C14" i="6"/>
  <c r="D16" i="4"/>
  <c r="D15" i="4"/>
  <c r="D14" i="4"/>
  <c r="D12" i="4"/>
  <c r="B13" i="2"/>
  <c r="B12" i="2"/>
  <c r="B11" i="2"/>
  <c r="D50" i="7"/>
  <c r="I50" i="7"/>
  <c r="N50" i="7"/>
  <c r="D51" i="7"/>
  <c r="I51" i="7"/>
  <c r="O55" i="7"/>
  <c r="O56" i="7" s="1"/>
  <c r="N55" i="7"/>
  <c r="N56" i="7" s="1"/>
  <c r="M55" i="7"/>
  <c r="M56" i="7" s="1"/>
  <c r="L55" i="7"/>
  <c r="L56" i="7" s="1"/>
  <c r="K55" i="7"/>
  <c r="K56" i="7" s="1"/>
  <c r="J55" i="7"/>
  <c r="J56" i="7" s="1"/>
  <c r="I55" i="7"/>
  <c r="I56" i="7" s="1"/>
  <c r="H55" i="7"/>
  <c r="H56" i="7" s="1"/>
  <c r="G55" i="7"/>
  <c r="G56" i="7" s="1"/>
  <c r="F55" i="7"/>
  <c r="F56" i="7" s="1"/>
  <c r="E55" i="7"/>
  <c r="E56" i="7" s="1"/>
  <c r="D55" i="7"/>
  <c r="D56" i="7" s="1"/>
  <c r="M7" i="4" l="1"/>
  <c r="M6" i="4"/>
  <c r="M5" i="4"/>
  <c r="M4" i="4"/>
  <c r="J22" i="4"/>
  <c r="M3" i="4"/>
  <c r="M2" i="4"/>
  <c r="O21" i="2"/>
  <c r="O22" i="2"/>
  <c r="M21" i="2"/>
  <c r="M22" i="2"/>
  <c r="M20" i="2"/>
  <c r="O5" i="2"/>
  <c r="M5" i="2"/>
  <c r="D17" i="4" l="1"/>
  <c r="D13" i="4"/>
  <c r="N43" i="7"/>
  <c r="I44" i="7"/>
  <c r="I43" i="7"/>
  <c r="D44" i="7"/>
  <c r="D43" i="7"/>
  <c r="E8" i="7" l="1"/>
  <c r="D8" i="7"/>
  <c r="C8" i="7"/>
  <c r="E9" i="7"/>
  <c r="D9" i="7"/>
  <c r="C9" i="7"/>
  <c r="E10" i="7"/>
  <c r="D10" i="7"/>
  <c r="C10" i="7"/>
  <c r="N2" i="5" l="1"/>
  <c r="N12" i="5"/>
  <c r="N4" i="5"/>
  <c r="N13" i="5"/>
  <c r="N18" i="5"/>
  <c r="N17" i="5"/>
  <c r="N16" i="5"/>
  <c r="L11" i="5"/>
  <c r="L10" i="5"/>
  <c r="L9" i="5"/>
  <c r="L8" i="5"/>
  <c r="N8" i="5" s="1"/>
  <c r="L7" i="5"/>
  <c r="N7" i="5" s="1"/>
  <c r="L6" i="5"/>
  <c r="N6" i="5" s="1"/>
  <c r="N14" i="5"/>
  <c r="L14" i="5"/>
  <c r="N5" i="5"/>
  <c r="N3" i="5"/>
  <c r="O14" i="1"/>
  <c r="M14" i="1"/>
  <c r="O13" i="1"/>
  <c r="M13" i="1"/>
  <c r="O12" i="1"/>
  <c r="M12" i="1"/>
  <c r="O4" i="1"/>
  <c r="O2" i="1"/>
  <c r="O15" i="1"/>
  <c r="O20" i="1"/>
  <c r="O19" i="1"/>
  <c r="O18" i="1"/>
  <c r="M11" i="1"/>
  <c r="M10" i="1"/>
  <c r="M9" i="1"/>
  <c r="M8" i="1"/>
  <c r="O8" i="1" s="1"/>
  <c r="M7" i="1"/>
  <c r="O7" i="1" s="1"/>
  <c r="M6" i="1"/>
  <c r="O6" i="1" s="1"/>
  <c r="O16" i="1"/>
  <c r="M16" i="1"/>
  <c r="O5" i="1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WEBB Tammy</author>
  </authors>
  <commentList>
    <comment ref="N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WEBB Tammy:</t>
        </r>
        <r>
          <rPr>
            <sz val="9"/>
            <color indexed="81"/>
            <rFont val="Tahoma"/>
            <family val="2"/>
          </rPr>
          <t xml:space="preserve">
New as of 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WEBB Tammy</author>
  </authors>
  <commentList>
    <comment ref="N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WEBB Tammy:</t>
        </r>
        <r>
          <rPr>
            <sz val="9"/>
            <color indexed="81"/>
            <rFont val="Tahoma"/>
            <family val="2"/>
          </rPr>
          <t xml:space="preserve">
New as of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MARTINEAU Tracy</author>
  </authors>
  <commentList>
    <comment ref="O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MARTINEAU Tracy:</t>
        </r>
        <r>
          <rPr>
            <sz val="9"/>
            <color indexed="81"/>
            <rFont val="Tahoma"/>
            <family val="2"/>
          </rPr>
          <t xml:space="preserve">
confirmed w/Parsons 9.4.18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tc={700A858F-3228-450A-8CB3-7D4461EC7678}</author>
    <author>tc={008524DE-D5F6-439D-9232-6AC4DDFEF9D3}</author>
    <author>MARTINEAU Tracy</author>
  </authors>
  <commentList>
    <comment ref="H2" authorId="0" shapeId="0" xr:uid="{700A858F-3228-450A-8CB3-7D4461EC7678}">
      <text>
        <t>[Threaded comment]
Your version of Excel allows you to read this threaded comment; however, any edits to it will get removed if the file is opened in a newer version of Excel. Learn more: https://go.microsoft.com/fwlink/?linkid=870924
Comment:
    Flat Amount 25k</t>
      </text>
    </comment>
    <comment ref="N13" authorId="1" shapeId="0" xr:uid="{008524DE-D5F6-439D-9232-6AC4DDFEF9D3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not include Steps 10-12</t>
      </text>
    </comment>
    <comment ref="O22" authorId="2" shapeId="0" xr:uid="{00000000-0006-0000-0300-000001000000}">
      <text>
        <r>
          <rPr>
            <b/>
            <sz val="9"/>
            <color indexed="81"/>
            <rFont val="Tahoma"/>
            <family val="2"/>
          </rPr>
          <t>MARTINEAU Tracy:</t>
        </r>
        <r>
          <rPr>
            <sz val="9"/>
            <color indexed="81"/>
            <rFont val="Tahoma"/>
            <family val="2"/>
          </rPr>
          <t xml:space="preserve">
confirmed w/Parsons 9.4.18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tc={793063C6-83ED-41C4-A2CC-64FA577170A8}</author>
  </authors>
  <commentList>
    <comment ref="N11" authorId="0" shapeId="0" xr:uid="{793063C6-83ED-41C4-A2CC-64FA577170A8}">
      <text>
        <t>[Threaded comment]
Your version of Excel allows you to read this threaded comment; however, any edits to it will get removed if the file is opened in a newer version of Excel. Learn more: https://go.microsoft.com/fwlink/?linkid=870924
Comment:
    Does not include Steps 10-12</t>
      </text>
    </comment>
  </commentList>
</comments>
</file>

<file path=xl/sharedStrings.xml><?xml version="1.0" encoding="utf-8"?>
<sst xmlns="http://schemas.openxmlformats.org/spreadsheetml/2006/main" count="544" uniqueCount="194">
  <si>
    <t>County</t>
  </si>
  <si>
    <t>FTE</t>
  </si>
  <si>
    <t>POP</t>
  </si>
  <si>
    <t>Home Rule/General Law</t>
  </si>
  <si>
    <t># of Commissioners</t>
  </si>
  <si>
    <t>TERM</t>
  </si>
  <si>
    <t>Comments</t>
  </si>
  <si>
    <t>COLA 07/01/2019</t>
  </si>
  <si>
    <t>Salary w/ COLA</t>
  </si>
  <si>
    <t>COLA 07/01/2020</t>
  </si>
  <si>
    <t>Def comp. contribution</t>
  </si>
  <si>
    <t>Salary w/ def comp contribution</t>
  </si>
  <si>
    <t>PERS</t>
  </si>
  <si>
    <t>Salary w/ PERS</t>
  </si>
  <si>
    <t>Coos</t>
  </si>
  <si>
    <t>General Law</t>
  </si>
  <si>
    <t>ALL</t>
  </si>
  <si>
    <t>None</t>
  </si>
  <si>
    <t>N/A</t>
  </si>
  <si>
    <t>Polk</t>
  </si>
  <si>
    <t>Yamhill</t>
  </si>
  <si>
    <t>Either PERS or Def Comp</t>
  </si>
  <si>
    <t xml:space="preserve">No Change </t>
  </si>
  <si>
    <t>Josephine</t>
  </si>
  <si>
    <t>Home Rule</t>
  </si>
  <si>
    <t xml:space="preserve">1st Term </t>
  </si>
  <si>
    <t>2nd Term (4%)</t>
  </si>
  <si>
    <t>3rd Term (4%)</t>
  </si>
  <si>
    <t>Lincoln</t>
  </si>
  <si>
    <t>1st Term</t>
  </si>
  <si>
    <t>No</t>
  </si>
  <si>
    <t>2nd Term</t>
  </si>
  <si>
    <t xml:space="preserve">3rd Term </t>
  </si>
  <si>
    <t>Linn</t>
  </si>
  <si>
    <t>10 years</t>
  </si>
  <si>
    <t>15 years</t>
  </si>
  <si>
    <t>Douglas</t>
  </si>
  <si>
    <t>Columbia</t>
  </si>
  <si>
    <t>Klamath</t>
  </si>
  <si>
    <t>Umatilla</t>
  </si>
  <si>
    <t>Benton</t>
  </si>
  <si>
    <t>3rd Term</t>
  </si>
  <si>
    <t>2019 Population*</t>
  </si>
  <si>
    <t>County FTE</t>
  </si>
  <si>
    <t>FTE in DEPT</t>
  </si>
  <si>
    <t>Notes</t>
  </si>
  <si>
    <t>Stipend Given</t>
  </si>
  <si>
    <t>Adjustment  to Stipend 2019</t>
  </si>
  <si>
    <t>Stipend -2019</t>
  </si>
  <si>
    <t>Salary + Stipend 2019</t>
  </si>
  <si>
    <t>Adjustment to Stipend 2020</t>
  </si>
  <si>
    <t>Stipend- 2020</t>
  </si>
  <si>
    <t>Salary + Stipend 2020</t>
  </si>
  <si>
    <t>Def comp/equiv contribution</t>
  </si>
  <si>
    <t>YES</t>
  </si>
  <si>
    <t>Either PERS of Def</t>
  </si>
  <si>
    <t>Yes</t>
  </si>
  <si>
    <t>Range Adj in 2019</t>
  </si>
  <si>
    <t xml:space="preserve">Umatilla </t>
  </si>
  <si>
    <t>Unknown</t>
  </si>
  <si>
    <t>COLUMBIA</t>
  </si>
  <si>
    <t>2019 Pop.</t>
  </si>
  <si>
    <t>COLA 7/1/2019</t>
  </si>
  <si>
    <t>Current Annual Salary</t>
  </si>
  <si>
    <t>COLA 7/1/2020</t>
  </si>
  <si>
    <t>Fixed-highest paid</t>
  </si>
  <si>
    <t>Longevity</t>
  </si>
  <si>
    <t>6% of PERS as of 2020</t>
  </si>
  <si>
    <t>ORS/Pension</t>
  </si>
  <si>
    <t>Benton1</t>
  </si>
  <si>
    <t>Benton2</t>
  </si>
  <si>
    <t>Benton3</t>
  </si>
  <si>
    <t>Population</t>
  </si>
  <si>
    <t>Under 100k</t>
  </si>
  <si>
    <t>Over 100k</t>
  </si>
  <si>
    <t>3 down Stipend/Salary average- Stipend Only</t>
  </si>
  <si>
    <t>3 down Stipend/Salary average- Stipend/Salary</t>
  </si>
  <si>
    <t xml:space="preserve">Chief Deputy </t>
  </si>
  <si>
    <t>D/65/72-</t>
  </si>
  <si>
    <t>Director V</t>
  </si>
  <si>
    <t>Min</t>
  </si>
  <si>
    <t>Max</t>
  </si>
  <si>
    <t>Under Sherrif</t>
  </si>
  <si>
    <t>E/81-</t>
  </si>
  <si>
    <t>Administrator I</t>
  </si>
  <si>
    <t>Commisioner Salary % Increase History</t>
  </si>
  <si>
    <t>Date</t>
  </si>
  <si>
    <t>All Commisioners' Salary</t>
  </si>
  <si>
    <t xml:space="preserve">Term 1 </t>
  </si>
  <si>
    <t>Term 2</t>
  </si>
  <si>
    <t>Term 3 &amp; above Salary</t>
  </si>
  <si>
    <t>% Increase</t>
  </si>
  <si>
    <t>NON Rep Salary 2015</t>
  </si>
  <si>
    <t>2.5% ECI Received</t>
  </si>
  <si>
    <t>Minimum
(Step 1)</t>
  </si>
  <si>
    <t>Midpoint
(Step 6)</t>
  </si>
  <si>
    <t>Maximum
(Step 11)</t>
  </si>
  <si>
    <t>Range Spread</t>
  </si>
  <si>
    <t>DBM/Range</t>
  </si>
  <si>
    <t>Step 2</t>
  </si>
  <si>
    <t>Step 3</t>
  </si>
  <si>
    <t>Step 4</t>
  </si>
  <si>
    <t>Step 5</t>
  </si>
  <si>
    <t>Step 7</t>
  </si>
  <si>
    <t>Step 8</t>
  </si>
  <si>
    <t>Step 9</t>
  </si>
  <si>
    <t>Step 10</t>
  </si>
  <si>
    <t>E/81</t>
  </si>
  <si>
    <t>$83,988
$6,999
$40.38</t>
  </si>
  <si>
    <t>$89,036
$7,420
$42.81</t>
  </si>
  <si>
    <t>$94,071
$7,839
$45.23</t>
  </si>
  <si>
    <t>$99,105
$8,259
$47.65</t>
  </si>
  <si>
    <t>$104,153
$8,679
$50.07</t>
  </si>
  <si>
    <t>$109,188
$9,099
$52.50</t>
  </si>
  <si>
    <t>$114,235
$9,520
$54.92</t>
  </si>
  <si>
    <t>$119,270
$9,939
$57.34</t>
  </si>
  <si>
    <t>$124,305
$10,359
$59.76</t>
  </si>
  <si>
    <t>$129,352
$10,779
$62.19</t>
  </si>
  <si>
    <t>$134,387
$11,199
$64.61</t>
  </si>
  <si>
    <t>60%</t>
  </si>
  <si>
    <t>NON Rep Salary 2016</t>
  </si>
  <si>
    <t>$85,933
$7,161
$41.31</t>
  </si>
  <si>
    <t xml:space="preserve">$91,097
$7,591
$43.80
</t>
  </si>
  <si>
    <t>$96,247
$8,020
$46.27</t>
  </si>
  <si>
    <t>$101,399
$8,449
$48.75</t>
  </si>
  <si>
    <t>$106,563
$8,880
$51.23</t>
  </si>
  <si>
    <t>$111,715
$9,309
$53.71</t>
  </si>
  <si>
    <t>$116,879
$9,739
$56.19</t>
  </si>
  <si>
    <t>$122,030
$10,169
$58.67</t>
  </si>
  <si>
    <t>$127,182
$10,598
$61.14</t>
  </si>
  <si>
    <t>$132,346
$11,028
$63.63</t>
  </si>
  <si>
    <t>$137,497
$11,458
$66.10</t>
  </si>
  <si>
    <t>No ECI Received</t>
  </si>
  <si>
    <t>Minimum</t>
  </si>
  <si>
    <t>Market</t>
  </si>
  <si>
    <t>Maximum</t>
  </si>
  <si>
    <t>Range</t>
  </si>
  <si>
    <t>Range Received ECI</t>
  </si>
  <si>
    <t>Non Rep Salary % Increase History</t>
  </si>
  <si>
    <t>AFSCME Salary % Increase History</t>
  </si>
  <si>
    <t>BCDSA Salary % Increase History</t>
  </si>
  <si>
    <t>ONA Salary % Increase History</t>
  </si>
  <si>
    <t>Up to 2%</t>
  </si>
  <si>
    <t>Year</t>
  </si>
  <si>
    <t>Rationale</t>
  </si>
  <si>
    <t>Matched to County Counsel</t>
  </si>
  <si>
    <t>Match to Sheriff</t>
  </si>
  <si>
    <t>Match to Commisoners</t>
  </si>
  <si>
    <t>Matched to Commisoners</t>
  </si>
  <si>
    <t>Matched to Sheriff</t>
  </si>
  <si>
    <t>Matched to Commisioners</t>
  </si>
  <si>
    <t xml:space="preserve">Parity with Commisioners </t>
  </si>
  <si>
    <t>Over Undersheriff</t>
  </si>
  <si>
    <t>Increase in range/step</t>
  </si>
  <si>
    <t>-</t>
  </si>
  <si>
    <t xml:space="preserve"> Undersherrif Received ECI and increase -1% over</t>
  </si>
  <si>
    <t>NON Rep Salary 2023</t>
  </si>
  <si>
    <t>NON Rep Salary 2021</t>
  </si>
  <si>
    <t>New structure</t>
  </si>
  <si>
    <t>Committee</t>
  </si>
  <si>
    <t>1% above Undersheriff</t>
  </si>
  <si>
    <t>4.24% after ECI</t>
  </si>
  <si>
    <t>3 Up Stipend average- Stipend Only</t>
  </si>
  <si>
    <t>3 Up Stipend average- Stipend/Salary</t>
  </si>
  <si>
    <t>3 down salary average</t>
  </si>
  <si>
    <t>3 up salary average</t>
  </si>
  <si>
    <t>3  up salary average</t>
  </si>
  <si>
    <t>Average 6 counties</t>
  </si>
  <si>
    <t>Average 6 counties -Stipend</t>
  </si>
  <si>
    <t>Average 6 counties -Stipend/Salary</t>
  </si>
  <si>
    <t>COLA 07/01/2024</t>
  </si>
  <si>
    <t>2024 Salary w/ COLA</t>
  </si>
  <si>
    <t>COLA 7/1/2024</t>
  </si>
  <si>
    <t>Salary + Stipend 2024</t>
  </si>
  <si>
    <t>10% above highest SO</t>
  </si>
  <si>
    <t>State Compensation-2024</t>
  </si>
  <si>
    <t>Previous to 04/01/2024</t>
  </si>
  <si>
    <t>Market Adjustment</t>
  </si>
  <si>
    <t>NON Rep Salary 2024</t>
  </si>
  <si>
    <t>Reserved for Exceptional Performance</t>
  </si>
  <si>
    <t>COLA 07/01/2025</t>
  </si>
  <si>
    <t>2025 Salary w/ COLA</t>
  </si>
  <si>
    <t>Adjustment  to Stipend 2024</t>
  </si>
  <si>
    <t>Stipend-2024</t>
  </si>
  <si>
    <t>Adjustment to Stipend 2025</t>
  </si>
  <si>
    <t>Stipend- 2025</t>
  </si>
  <si>
    <t>Salary + Stipend 2025</t>
  </si>
  <si>
    <t>COLA 7/1/2025</t>
  </si>
  <si>
    <t>No change</t>
  </si>
  <si>
    <t>NON Rep Salary 2025</t>
  </si>
  <si>
    <t>State Compensation-2025</t>
  </si>
  <si>
    <t>Varied Rate</t>
  </si>
  <si>
    <t>NONE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</si>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</sst>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9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3" fontId="4" fillId="3" borderId="1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9" fontId="4" fillId="4" borderId="3" xfId="0" applyNumberFormat="1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9" fontId="4" fillId="4" borderId="1" xfId="0" quotePrefix="1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9" fontId="4" fillId="4" borderId="3" xfId="0" quotePrefix="1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/>
    </xf>
    <xf numFmtId="166" fontId="9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0" fontId="9" fillId="0" borderId="1" xfId="0" applyNumberFormat="1" applyFont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center" wrapText="1"/>
    </xf>
    <xf numFmtId="10" fontId="9" fillId="4" borderId="1" xfId="0" applyNumberFormat="1" applyFont="1" applyFill="1" applyBorder="1" applyAlignment="1">
      <alignment horizontal="center" wrapText="1"/>
    </xf>
    <xf numFmtId="164" fontId="9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 wrapText="1"/>
    </xf>
    <xf numFmtId="166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7" fontId="4" fillId="0" borderId="0" xfId="1" applyNumberFormat="1" applyFont="1"/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3" fontId="4" fillId="0" borderId="4" xfId="1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166" fontId="4" fillId="4" borderId="1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166" fontId="0" fillId="4" borderId="1" xfId="0" applyNumberForma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Font="1"/>
    <xf numFmtId="6" fontId="2" fillId="0" borderId="0" xfId="0" applyNumberFormat="1" applyFont="1"/>
    <xf numFmtId="164" fontId="2" fillId="0" borderId="0" xfId="0" applyNumberFormat="1" applyFont="1"/>
    <xf numFmtId="10" fontId="4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9" fontId="4" fillId="0" borderId="0" xfId="0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167" fontId="4" fillId="3" borderId="2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6" borderId="0" xfId="0" applyFill="1"/>
    <xf numFmtId="0" fontId="0" fillId="7" borderId="0" xfId="0" applyFill="1"/>
    <xf numFmtId="0" fontId="4" fillId="6" borderId="0" xfId="0" applyFont="1" applyFill="1" applyAlignment="1">
      <alignment horizontal="left"/>
    </xf>
    <xf numFmtId="0" fontId="0" fillId="7" borderId="0" xfId="0" applyFill="1" applyAlignment="1">
      <alignment horizontal="left"/>
    </xf>
    <xf numFmtId="4" fontId="0" fillId="0" borderId="0" xfId="0" applyNumberFormat="1"/>
    <xf numFmtId="165" fontId="0" fillId="0" borderId="0" xfId="0" applyNumberFormat="1"/>
    <xf numFmtId="0" fontId="1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8" xfId="0" applyBorder="1" applyAlignment="1">
      <alignment horizontal="center"/>
    </xf>
    <xf numFmtId="165" fontId="0" fillId="0" borderId="1" xfId="3" applyNumberFormat="1" applyFont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3" applyNumberFormat="1" applyFont="1" applyBorder="1" applyAlignment="1">
      <alignment horizontal="center" vertical="center" wrapText="1"/>
    </xf>
    <xf numFmtId="165" fontId="0" fillId="0" borderId="1" xfId="3" applyNumberFormat="1" applyFont="1" applyBorder="1" applyAlignment="1">
      <alignment horizontal="center"/>
    </xf>
    <xf numFmtId="165" fontId="0" fillId="0" borderId="1" xfId="3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vertical="top" wrapText="1" readingOrder="1"/>
    </xf>
    <xf numFmtId="0" fontId="17" fillId="0" borderId="0" xfId="0" applyFont="1" applyAlignment="1">
      <alignment horizontal="center" vertical="top" wrapText="1" readingOrder="1"/>
    </xf>
    <xf numFmtId="0" fontId="17" fillId="0" borderId="0" xfId="0" applyFont="1" applyAlignment="1">
      <alignment horizontal="center" vertical="top" readingOrder="1"/>
    </xf>
    <xf numFmtId="0" fontId="17" fillId="0" borderId="0" xfId="0" applyFont="1" applyAlignment="1">
      <alignment vertical="top" wrapText="1" readingOrder="1"/>
    </xf>
    <xf numFmtId="0" fontId="17" fillId="0" borderId="0" xfId="0" applyFont="1" applyAlignment="1">
      <alignment vertical="top" readingOrder="1"/>
    </xf>
    <xf numFmtId="0" fontId="18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vertical="top" wrapText="1" readingOrder="1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center" vertical="top" readingOrder="1"/>
    </xf>
    <xf numFmtId="0" fontId="19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9" fillId="0" borderId="0" xfId="0" applyFont="1" applyAlignment="1">
      <alignment horizontal="left" vertical="top" wrapText="1" readingOrder="1"/>
    </xf>
    <xf numFmtId="0" fontId="18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 wrapText="1" readingOrder="1"/>
    </xf>
    <xf numFmtId="0" fontId="0" fillId="0" borderId="18" xfId="0" applyBorder="1" applyAlignment="1">
      <alignment horizontal="center" vertical="top" wrapText="1" readingOrder="1"/>
    </xf>
    <xf numFmtId="9" fontId="19" fillId="0" borderId="19" xfId="0" applyNumberFormat="1" applyFont="1" applyBorder="1" applyAlignment="1" applyProtection="1">
      <alignment horizontal="center" vertical="top" readingOrder="1"/>
      <protection locked="0"/>
    </xf>
    <xf numFmtId="0" fontId="0" fillId="0" borderId="20" xfId="0" applyBorder="1" applyAlignment="1">
      <alignment vertical="top"/>
    </xf>
    <xf numFmtId="0" fontId="19" fillId="0" borderId="21" xfId="0" applyFont="1" applyBorder="1" applyAlignment="1" applyProtection="1">
      <alignment horizontal="center" vertical="top" readingOrder="1"/>
      <protection locked="0"/>
    </xf>
    <xf numFmtId="0" fontId="0" fillId="0" borderId="22" xfId="0" applyBorder="1" applyAlignment="1">
      <alignment vertical="top"/>
    </xf>
    <xf numFmtId="0" fontId="19" fillId="0" borderId="5" xfId="0" applyFont="1" applyBorder="1" applyAlignment="1">
      <alignment horizontal="center" vertical="top" wrapText="1" readingOrder="1"/>
    </xf>
    <xf numFmtId="0" fontId="0" fillId="0" borderId="5" xfId="0" applyBorder="1" applyAlignment="1">
      <alignment horizontal="center" vertical="top" wrapText="1" readingOrder="1"/>
    </xf>
    <xf numFmtId="0" fontId="19" fillId="0" borderId="23" xfId="0" applyFont="1" applyBorder="1" applyAlignment="1" applyProtection="1">
      <alignment horizontal="center" vertical="top" readingOrder="1"/>
      <protection locked="0"/>
    </xf>
    <xf numFmtId="0" fontId="18" fillId="0" borderId="15" xfId="0" applyFont="1" applyBorder="1" applyAlignment="1">
      <alignment horizontal="center" vertical="top"/>
    </xf>
    <xf numFmtId="164" fontId="17" fillId="0" borderId="0" xfId="2" applyNumberFormat="1" applyFont="1" applyFill="1" applyBorder="1" applyAlignment="1">
      <alignment horizontal="center" vertical="top" readingOrder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8" fontId="0" fillId="0" borderId="0" xfId="0" applyNumberFormat="1"/>
    <xf numFmtId="0" fontId="0" fillId="0" borderId="0" xfId="0" applyAlignment="1">
      <alignment vertical="top" wrapText="1"/>
    </xf>
    <xf numFmtId="43" fontId="0" fillId="0" borderId="1" xfId="3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center"/>
    </xf>
    <xf numFmtId="10" fontId="15" fillId="0" borderId="1" xfId="4" applyNumberFormat="1" applyFont="1" applyBorder="1" applyAlignment="1">
      <alignment horizontal="center"/>
    </xf>
    <xf numFmtId="164" fontId="0" fillId="4" borderId="1" xfId="2" applyNumberFormat="1" applyFont="1" applyFill="1" applyBorder="1" applyAlignment="1">
      <alignment horizontal="center" vertical="top" readingOrder="1"/>
    </xf>
    <xf numFmtId="164" fontId="17" fillId="4" borderId="1" xfId="2" applyNumberFormat="1" applyFont="1" applyFill="1" applyBorder="1" applyAlignment="1">
      <alignment horizontal="center" vertical="top" readingOrder="1"/>
    </xf>
    <xf numFmtId="165" fontId="17" fillId="4" borderId="1" xfId="0" applyNumberFormat="1" applyFont="1" applyFill="1" applyBorder="1" applyAlignment="1">
      <alignment horizontal="center" vertical="top" readingOrder="1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9" fontId="0" fillId="0" borderId="10" xfId="4" applyFont="1" applyBorder="1" applyAlignment="1">
      <alignment horizontal="center"/>
    </xf>
    <xf numFmtId="166" fontId="4" fillId="0" borderId="1" xfId="0" applyNumberFormat="1" applyFont="1" applyBorder="1" applyAlignment="1">
      <alignment horizontal="center" wrapText="1"/>
    </xf>
    <xf numFmtId="164" fontId="9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0" fillId="9" borderId="0" xfId="0" applyFill="1" applyAlignment="1">
      <alignment horizontal="left"/>
    </xf>
    <xf numFmtId="0" fontId="0" fillId="9" borderId="0" xfId="0" applyFill="1"/>
    <xf numFmtId="0" fontId="1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6" fontId="0" fillId="0" borderId="1" xfId="4" applyNumberFormat="1" applyFont="1" applyFill="1" applyBorder="1" applyAlignment="1">
      <alignment horizontal="center"/>
    </xf>
    <xf numFmtId="9" fontId="15" fillId="0" borderId="1" xfId="4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horizontal="left"/>
    </xf>
    <xf numFmtId="0" fontId="0" fillId="4" borderId="0" xfId="0" applyFill="1"/>
    <xf numFmtId="165" fontId="17" fillId="0" borderId="0" xfId="0" applyNumberFormat="1" applyFont="1" applyAlignment="1">
      <alignment horizontal="center" vertical="top" readingOrder="1"/>
    </xf>
    <xf numFmtId="164" fontId="0" fillId="0" borderId="29" xfId="2" applyNumberFormat="1" applyFont="1" applyFill="1" applyBorder="1" applyAlignment="1">
      <alignment horizontal="center" vertical="top" readingOrder="1"/>
    </xf>
    <xf numFmtId="164" fontId="0" fillId="0" borderId="30" xfId="2" applyNumberFormat="1" applyFont="1" applyFill="1" applyBorder="1" applyAlignment="1">
      <alignment horizontal="center" vertical="top" readingOrder="1"/>
    </xf>
    <xf numFmtId="164" fontId="0" fillId="0" borderId="31" xfId="2" applyNumberFormat="1" applyFont="1" applyFill="1" applyBorder="1" applyAlignment="1">
      <alignment horizontal="center" vertical="top" readingOrder="1"/>
    </xf>
    <xf numFmtId="164" fontId="3" fillId="0" borderId="18" xfId="2" applyNumberFormat="1" applyFont="1" applyFill="1" applyBorder="1" applyAlignment="1">
      <alignment horizontal="center" vertical="top" readingOrder="1"/>
    </xf>
    <xf numFmtId="9" fontId="21" fillId="0" borderId="18" xfId="4" applyFont="1" applyFill="1" applyBorder="1" applyAlignment="1">
      <alignment horizontal="center" vertical="top" wrapText="1" readingOrder="1"/>
    </xf>
    <xf numFmtId="9" fontId="21" fillId="0" borderId="15" xfId="4" applyFont="1" applyFill="1" applyBorder="1" applyAlignment="1">
      <alignment horizontal="center" vertical="top" wrapText="1" readingOrder="1"/>
    </xf>
    <xf numFmtId="0" fontId="0" fillId="0" borderId="16" xfId="0" applyBorder="1" applyAlignment="1">
      <alignment vertical="top"/>
    </xf>
    <xf numFmtId="164" fontId="21" fillId="4" borderId="1" xfId="2" applyNumberFormat="1" applyFont="1" applyFill="1" applyBorder="1" applyAlignment="1">
      <alignment horizontal="center" vertical="top" readingOrder="1"/>
    </xf>
    <xf numFmtId="164" fontId="21" fillId="0" borderId="0" xfId="2" applyNumberFormat="1" applyFont="1" applyFill="1" applyBorder="1" applyAlignment="1">
      <alignment horizontal="center" vertical="top" readingOrder="1"/>
    </xf>
    <xf numFmtId="9" fontId="21" fillId="0" borderId="0" xfId="4" applyFont="1" applyFill="1" applyBorder="1" applyAlignment="1">
      <alignment horizontal="center" vertical="top" wrapText="1" readingOrder="1"/>
    </xf>
    <xf numFmtId="9" fontId="21" fillId="0" borderId="16" xfId="4" applyFont="1" applyFill="1" applyBorder="1" applyAlignment="1">
      <alignment horizontal="center" vertical="top" wrapText="1" readingOrder="1"/>
    </xf>
    <xf numFmtId="0" fontId="0" fillId="0" borderId="10" xfId="0" applyBorder="1" applyAlignment="1">
      <alignment vertical="top"/>
    </xf>
    <xf numFmtId="165" fontId="21" fillId="4" borderId="1" xfId="0" applyNumberFormat="1" applyFont="1" applyFill="1" applyBorder="1" applyAlignment="1">
      <alignment horizontal="center" vertical="top" readingOrder="1"/>
    </xf>
    <xf numFmtId="165" fontId="21" fillId="0" borderId="5" xfId="0" applyNumberFormat="1" applyFont="1" applyBorder="1" applyAlignment="1">
      <alignment horizontal="center" vertical="top" readingOrder="1"/>
    </xf>
    <xf numFmtId="9" fontId="21" fillId="0" borderId="5" xfId="4" applyFont="1" applyFill="1" applyBorder="1" applyAlignment="1">
      <alignment horizontal="center" vertical="top" wrapText="1" readingOrder="1"/>
    </xf>
    <xf numFmtId="9" fontId="21" fillId="0" borderId="10" xfId="4" applyFont="1" applyFill="1" applyBorder="1" applyAlignment="1">
      <alignment horizontal="center" vertical="top" wrapText="1" readingOrder="1"/>
    </xf>
    <xf numFmtId="164" fontId="6" fillId="4" borderId="1" xfId="0" applyNumberFormat="1" applyFont="1" applyFill="1" applyBorder="1" applyAlignment="1">
      <alignment horizontal="center" vertical="top"/>
    </xf>
    <xf numFmtId="0" fontId="22" fillId="4" borderId="0" xfId="0" applyFont="1" applyFill="1" applyAlignment="1">
      <alignment horizontal="center" vertical="center" wrapText="1" readingOrder="1"/>
    </xf>
    <xf numFmtId="0" fontId="22" fillId="10" borderId="0" xfId="0" applyFont="1" applyFill="1" applyAlignment="1">
      <alignment horizontal="center" vertical="center" wrapText="1" readingOrder="1"/>
    </xf>
    <xf numFmtId="164" fontId="6" fillId="10" borderId="1" xfId="0" applyNumberFormat="1" applyFont="1" applyFill="1" applyBorder="1" applyAlignment="1">
      <alignment horizontal="center" vertical="top"/>
    </xf>
    <xf numFmtId="164" fontId="19" fillId="4" borderId="1" xfId="2" applyNumberFormat="1" applyFont="1" applyFill="1" applyBorder="1" applyAlignment="1">
      <alignment horizontal="center" vertical="top" readingOrder="1"/>
    </xf>
    <xf numFmtId="164" fontId="19" fillId="10" borderId="1" xfId="2" applyNumberFormat="1" applyFont="1" applyFill="1" applyBorder="1" applyAlignment="1">
      <alignment horizontal="center" vertical="top" readingOrder="1"/>
    </xf>
    <xf numFmtId="165" fontId="19" fillId="4" borderId="1" xfId="0" applyNumberFormat="1" applyFont="1" applyFill="1" applyBorder="1" applyAlignment="1">
      <alignment horizontal="center" vertical="top" readingOrder="1"/>
    </xf>
    <xf numFmtId="165" fontId="19" fillId="10" borderId="1" xfId="0" applyNumberFormat="1" applyFont="1" applyFill="1" applyBorder="1" applyAlignment="1">
      <alignment horizontal="center" vertical="top" readingOrder="1"/>
    </xf>
    <xf numFmtId="0" fontId="0" fillId="0" borderId="10" xfId="0" applyBorder="1"/>
    <xf numFmtId="164" fontId="6" fillId="10" borderId="2" xfId="0" applyNumberFormat="1" applyFont="1" applyFill="1" applyBorder="1" applyAlignment="1">
      <alignment horizontal="center" vertical="top"/>
    </xf>
    <xf numFmtId="164" fontId="19" fillId="10" borderId="2" xfId="2" applyNumberFormat="1" applyFont="1" applyFill="1" applyBorder="1" applyAlignment="1">
      <alignment horizontal="center" vertical="top" readingOrder="1"/>
    </xf>
    <xf numFmtId="165" fontId="19" fillId="10" borderId="2" xfId="0" applyNumberFormat="1" applyFont="1" applyFill="1" applyBorder="1" applyAlignment="1">
      <alignment horizontal="center" vertical="top" readingOrder="1"/>
    </xf>
    <xf numFmtId="0" fontId="0" fillId="0" borderId="10" xfId="0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9" fontId="4" fillId="0" borderId="1" xfId="0" quotePrefix="1" applyNumberFormat="1" applyFont="1" applyBorder="1" applyAlignment="1">
      <alignment horizontal="center"/>
    </xf>
    <xf numFmtId="9" fontId="0" fillId="0" borderId="1" xfId="4" applyFont="1" applyFill="1" applyBorder="1" applyAlignment="1">
      <alignment horizontal="center"/>
    </xf>
    <xf numFmtId="9" fontId="0" fillId="0" borderId="1" xfId="0" applyNumberFormat="1" applyBorder="1" applyAlignment="1">
      <alignment horizontal="center" vertical="center"/>
    </xf>
    <xf numFmtId="10" fontId="15" fillId="0" borderId="1" xfId="4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10" fontId="0" fillId="0" borderId="20" xfId="0" applyNumberFormat="1" applyBorder="1" applyAlignment="1">
      <alignment horizontal="center"/>
    </xf>
    <xf numFmtId="9" fontId="4" fillId="0" borderId="3" xfId="0" quotePrefix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0" fontId="0" fillId="0" borderId="1" xfId="4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6" fontId="15" fillId="0" borderId="1" xfId="4" applyNumberFormat="1" applyFont="1" applyFill="1" applyBorder="1" applyAlignment="1">
      <alignment horizontal="center"/>
    </xf>
    <xf numFmtId="164" fontId="0" fillId="0" borderId="0" xfId="2" applyNumberFormat="1" applyFont="1" applyFill="1"/>
    <xf numFmtId="164" fontId="4" fillId="6" borderId="0" xfId="0" applyNumberFormat="1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4" fontId="0" fillId="0" borderId="1" xfId="0" applyNumberFormat="1" applyBorder="1"/>
    <xf numFmtId="166" fontId="4" fillId="0" borderId="1" xfId="0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" xfId="4" applyNumberFormat="1" applyFont="1" applyBorder="1" applyAlignment="1">
      <alignment horizontal="center"/>
    </xf>
    <xf numFmtId="166" fontId="0" fillId="0" borderId="1" xfId="4" applyNumberFormat="1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18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7" fillId="0" borderId="1" xfId="0" applyFont="1" applyBorder="1" applyAlignment="1">
      <alignment horizontal="center" vertical="top" wrapText="1" readingOrder="1"/>
    </xf>
    <xf numFmtId="0" fontId="0" fillId="0" borderId="0" xfId="0" applyAlignment="1">
      <alignment horizontal="center" vertical="top" wrapText="1" readingOrder="1"/>
    </xf>
    <xf numFmtId="0" fontId="19" fillId="0" borderId="15" xfId="0" applyFont="1" applyBorder="1" applyAlignment="1">
      <alignment horizontal="center" vertical="top" wrapText="1" readingOrder="1"/>
    </xf>
    <xf numFmtId="0" fontId="19" fillId="0" borderId="16" xfId="0" applyFont="1" applyBorder="1" applyAlignment="1">
      <alignment horizontal="center" vertical="top" wrapText="1" readingOrder="1"/>
    </xf>
    <xf numFmtId="0" fontId="19" fillId="0" borderId="10" xfId="0" applyFont="1" applyBorder="1" applyAlignment="1">
      <alignment horizontal="center" vertical="top" wrapText="1" readingOrder="1"/>
    </xf>
    <xf numFmtId="0" fontId="0" fillId="0" borderId="15" xfId="0" applyBorder="1" applyAlignment="1">
      <alignment horizontal="center" vertical="top" wrapText="1" readingOrder="1"/>
    </xf>
    <xf numFmtId="0" fontId="0" fillId="0" borderId="16" xfId="0" applyBorder="1" applyAlignment="1">
      <alignment horizontal="center" vertical="top" wrapText="1" readingOrder="1"/>
    </xf>
    <xf numFmtId="0" fontId="0" fillId="0" borderId="10" xfId="0" applyBorder="1" applyAlignment="1">
      <alignment horizontal="center" vertical="top" wrapText="1" readingOrder="1"/>
    </xf>
  </cellXfs>
  <cellStyles count="5">
    <cellStyle name="Comma" xfId="3" builtinId="3"/>
    <cellStyle name="Currency" xfId="2" builtinId="4"/>
    <cellStyle name="Normal" xfId="0" builtinId="0"/>
    <cellStyle name="Normal 11" xfId="1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EBB Tammy" id="{C5CE1C39-5274-4C11-846F-79568806EABB}" userId="S::tammy.webb@bentoncountyor.gov::9c8fc99e-9a2c-4f98-94f7-8f1d66892d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" dT="2023-08-23T17:09:28.64" personId="{C5CE1C39-5274-4C11-846F-79568806EABB}" id="{700A858F-3228-450A-8CB3-7D4461EC7678}">
    <text>Flat Amount 25k</text>
  </threadedComment>
  <threadedComment ref="N13" dT="2024-12-02T23:12:09.55" personId="{C5CE1C39-5274-4C11-846F-79568806EABB}" id="{008524DE-D5F6-439D-9232-6AC4DDFEF9D3}">
    <text>Does not include Steps 10-12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N11" dT="2024-12-02T23:29:07.31" personId="{C5CE1C39-5274-4C11-846F-79568806EABB}" id="{793063C6-83ED-41C4-A2CC-64FA577170A8}">
    <text>Does not include Steps 10-12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workbookViewId="0">
      <selection activeCell="D1" sqref="D1"/>
    </sheetView>
  </sheetViews>
  <sheetFormatPr defaultRowHeight="15" x14ac:dyDescent="0.25"/>
  <cols>
    <col min="1" max="1" width="10" bestFit="1" customWidth="1"/>
    <col min="4" max="4" width="17" customWidth="1"/>
    <col min="6" max="6" width="20.42578125" customWidth="1"/>
    <col min="7" max="7" width="27.42578125" customWidth="1"/>
    <col min="8" max="8" width="15.85546875" customWidth="1"/>
    <col min="9" max="10" width="17.140625" customWidth="1"/>
    <col min="11" max="11" width="16.5703125" customWidth="1"/>
    <col min="12" max="12" width="13.140625" customWidth="1"/>
    <col min="13" max="13" width="14.85546875" customWidth="1"/>
    <col min="15" max="15" width="18.5703125" customWidth="1"/>
  </cols>
  <sheetData>
    <row r="1" spans="1:1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8</v>
      </c>
      <c r="L1" s="4" t="s">
        <v>10</v>
      </c>
      <c r="M1" s="5" t="s">
        <v>11</v>
      </c>
      <c r="N1" s="1" t="s">
        <v>12</v>
      </c>
      <c r="O1" s="1" t="s">
        <v>13</v>
      </c>
    </row>
    <row r="2" spans="1:15" x14ac:dyDescent="0.25">
      <c r="A2" s="6" t="s">
        <v>37</v>
      </c>
      <c r="B2" s="7">
        <v>202</v>
      </c>
      <c r="C2" s="8">
        <v>52750</v>
      </c>
      <c r="D2" s="9" t="s">
        <v>15</v>
      </c>
      <c r="E2" s="6"/>
      <c r="F2" s="10" t="s">
        <v>16</v>
      </c>
      <c r="G2" s="10"/>
      <c r="H2" s="17">
        <v>2.4E-2</v>
      </c>
      <c r="I2" s="18">
        <v>93600</v>
      </c>
      <c r="J2" s="13">
        <v>0</v>
      </c>
      <c r="K2" s="14">
        <v>93600</v>
      </c>
      <c r="L2" s="15" t="s">
        <v>17</v>
      </c>
      <c r="M2" s="10" t="s">
        <v>18</v>
      </c>
      <c r="N2" s="16">
        <v>0.06</v>
      </c>
      <c r="O2" s="29">
        <f>K2*1.06</f>
        <v>99216</v>
      </c>
    </row>
    <row r="3" spans="1:15" x14ac:dyDescent="0.25">
      <c r="A3" s="6" t="s">
        <v>14</v>
      </c>
      <c r="B3" s="7">
        <v>329</v>
      </c>
      <c r="C3" s="8">
        <v>63290</v>
      </c>
      <c r="D3" s="9" t="s">
        <v>15</v>
      </c>
      <c r="E3" s="6">
        <v>3</v>
      </c>
      <c r="F3" s="10" t="s">
        <v>16</v>
      </c>
      <c r="G3" s="10"/>
      <c r="H3" s="11">
        <v>1.9300000000000001E-2</v>
      </c>
      <c r="I3" s="12">
        <v>64488</v>
      </c>
      <c r="J3" s="13">
        <v>0</v>
      </c>
      <c r="K3" s="14">
        <v>64488</v>
      </c>
      <c r="L3" s="15" t="s">
        <v>17</v>
      </c>
      <c r="M3" s="10" t="s">
        <v>18</v>
      </c>
      <c r="N3" s="16">
        <v>0.06</v>
      </c>
      <c r="O3" s="10">
        <f>K3*1.06</f>
        <v>68357.279999999999</v>
      </c>
    </row>
    <row r="4" spans="1:15" x14ac:dyDescent="0.25">
      <c r="A4" s="6" t="s">
        <v>39</v>
      </c>
      <c r="B4" s="7">
        <v>335</v>
      </c>
      <c r="C4" s="8">
        <v>81160</v>
      </c>
      <c r="D4" s="9" t="s">
        <v>24</v>
      </c>
      <c r="E4" s="6">
        <v>3</v>
      </c>
      <c r="F4" s="10" t="s">
        <v>16</v>
      </c>
      <c r="G4" s="10"/>
      <c r="H4" s="17"/>
      <c r="I4" s="18">
        <v>95448</v>
      </c>
      <c r="J4" s="13">
        <v>0</v>
      </c>
      <c r="K4" s="14">
        <v>95448</v>
      </c>
      <c r="L4" s="15" t="s">
        <v>17</v>
      </c>
      <c r="M4" s="10" t="s">
        <v>18</v>
      </c>
      <c r="N4" s="16">
        <v>0.06</v>
      </c>
      <c r="O4" s="10">
        <f>K4*1.06</f>
        <v>101174.88</v>
      </c>
    </row>
    <row r="5" spans="1:15" x14ac:dyDescent="0.25">
      <c r="A5" s="31" t="s">
        <v>19</v>
      </c>
      <c r="B5" s="32">
        <v>400</v>
      </c>
      <c r="C5" s="33">
        <v>82940</v>
      </c>
      <c r="D5" s="34" t="s">
        <v>15</v>
      </c>
      <c r="E5" s="31">
        <v>3</v>
      </c>
      <c r="F5" s="35" t="s">
        <v>16</v>
      </c>
      <c r="G5" s="35"/>
      <c r="H5" s="36">
        <v>2.8E-3</v>
      </c>
      <c r="I5" s="37">
        <v>75192</v>
      </c>
      <c r="J5" s="38">
        <v>0</v>
      </c>
      <c r="K5" s="39">
        <v>75192</v>
      </c>
      <c r="L5" s="40" t="s">
        <v>17</v>
      </c>
      <c r="M5" s="35" t="s">
        <v>18</v>
      </c>
      <c r="N5" s="41">
        <v>0.06</v>
      </c>
      <c r="O5" s="35">
        <f>K5*1.06</f>
        <v>79703.520000000004</v>
      </c>
    </row>
    <row r="6" spans="1:15" x14ac:dyDescent="0.25">
      <c r="A6" s="31" t="s">
        <v>23</v>
      </c>
      <c r="B6" s="32">
        <v>450</v>
      </c>
      <c r="C6" s="33">
        <v>86750</v>
      </c>
      <c r="D6" s="34" t="s">
        <v>24</v>
      </c>
      <c r="E6" s="31">
        <v>3</v>
      </c>
      <c r="F6" s="35" t="s">
        <v>25</v>
      </c>
      <c r="G6" s="35" t="s">
        <v>21</v>
      </c>
      <c r="H6" s="36">
        <v>2.5000000000000001E-2</v>
      </c>
      <c r="I6" s="37">
        <v>82283.64</v>
      </c>
      <c r="J6" s="38">
        <v>0</v>
      </c>
      <c r="K6" s="37">
        <v>82284</v>
      </c>
      <c r="L6" s="42">
        <v>0.06</v>
      </c>
      <c r="M6" s="35">
        <f>K6*1.06</f>
        <v>87221.040000000008</v>
      </c>
      <c r="N6" s="41">
        <v>0.06</v>
      </c>
      <c r="O6" s="35">
        <f>M6*1.06</f>
        <v>92454.302400000015</v>
      </c>
    </row>
    <row r="7" spans="1:15" x14ac:dyDescent="0.25">
      <c r="A7" s="31"/>
      <c r="B7" s="32">
        <v>450</v>
      </c>
      <c r="C7" s="33">
        <v>86750</v>
      </c>
      <c r="D7" s="34"/>
      <c r="E7" s="31"/>
      <c r="F7" s="31" t="s">
        <v>26</v>
      </c>
      <c r="G7" s="31"/>
      <c r="H7" s="36">
        <v>2.5000000000000001E-2</v>
      </c>
      <c r="I7" s="43">
        <v>85574.99</v>
      </c>
      <c r="J7" s="38">
        <v>0</v>
      </c>
      <c r="K7" s="43">
        <v>85574.99</v>
      </c>
      <c r="L7" s="42">
        <v>0.06</v>
      </c>
      <c r="M7" s="35">
        <f>K7*1.06</f>
        <v>90709.489400000006</v>
      </c>
      <c r="N7" s="41">
        <v>0.06</v>
      </c>
      <c r="O7" s="35">
        <f>M7*1.06</f>
        <v>96152.058764000016</v>
      </c>
    </row>
    <row r="8" spans="1:15" x14ac:dyDescent="0.25">
      <c r="A8" s="31"/>
      <c r="B8" s="32">
        <v>450</v>
      </c>
      <c r="C8" s="33">
        <v>86750</v>
      </c>
      <c r="D8" s="34"/>
      <c r="E8" s="31"/>
      <c r="F8" s="31" t="s">
        <v>27</v>
      </c>
      <c r="G8" s="31"/>
      <c r="H8" s="36">
        <v>2.5000000000000001E-2</v>
      </c>
      <c r="I8" s="43">
        <v>88997.99</v>
      </c>
      <c r="J8" s="38">
        <v>0</v>
      </c>
      <c r="K8" s="35">
        <v>88997.99</v>
      </c>
      <c r="L8" s="44">
        <v>0.06</v>
      </c>
      <c r="M8" s="35">
        <f>K8*1.06</f>
        <v>94337.869400000011</v>
      </c>
      <c r="N8" s="41">
        <v>0.06</v>
      </c>
      <c r="O8" s="35">
        <f>M8*1.06</f>
        <v>99998.14156400002</v>
      </c>
    </row>
    <row r="9" spans="1:15" x14ac:dyDescent="0.25">
      <c r="A9" s="31" t="s">
        <v>28</v>
      </c>
      <c r="B9" s="32">
        <v>482</v>
      </c>
      <c r="C9" s="33">
        <v>48260</v>
      </c>
      <c r="D9" s="34" t="s">
        <v>15</v>
      </c>
      <c r="E9" s="31">
        <v>3</v>
      </c>
      <c r="F9" s="35" t="s">
        <v>29</v>
      </c>
      <c r="G9" s="35"/>
      <c r="H9" s="36">
        <v>2.5000000000000001E-2</v>
      </c>
      <c r="I9" s="37">
        <v>85068</v>
      </c>
      <c r="J9" s="38">
        <v>0</v>
      </c>
      <c r="K9" s="39">
        <v>85068</v>
      </c>
      <c r="L9" s="40">
        <v>0.11</v>
      </c>
      <c r="M9" s="35">
        <f>K9*1.11</f>
        <v>94425.48000000001</v>
      </c>
      <c r="N9" s="41" t="s">
        <v>30</v>
      </c>
      <c r="O9" s="35" t="s">
        <v>18</v>
      </c>
    </row>
    <row r="10" spans="1:15" x14ac:dyDescent="0.25">
      <c r="A10" s="31"/>
      <c r="B10" s="32">
        <v>482</v>
      </c>
      <c r="C10" s="33">
        <v>48260</v>
      </c>
      <c r="D10" s="34"/>
      <c r="E10" s="31"/>
      <c r="F10" s="35" t="s">
        <v>31</v>
      </c>
      <c r="G10" s="35"/>
      <c r="H10" s="36">
        <v>2.5000000000000001E-2</v>
      </c>
      <c r="I10" s="37">
        <v>87708</v>
      </c>
      <c r="J10" s="38">
        <v>0</v>
      </c>
      <c r="K10" s="39">
        <v>87708</v>
      </c>
      <c r="L10" s="40">
        <v>0.11</v>
      </c>
      <c r="M10" s="35">
        <f>K10*1.11</f>
        <v>97355.88</v>
      </c>
      <c r="N10" s="41" t="s">
        <v>30</v>
      </c>
      <c r="O10" s="35" t="s">
        <v>18</v>
      </c>
    </row>
    <row r="11" spans="1:15" x14ac:dyDescent="0.25">
      <c r="A11" s="31"/>
      <c r="B11" s="32">
        <v>482</v>
      </c>
      <c r="C11" s="33">
        <v>48260</v>
      </c>
      <c r="D11" s="34"/>
      <c r="E11" s="31"/>
      <c r="F11" s="35" t="s">
        <v>32</v>
      </c>
      <c r="G11" s="35"/>
      <c r="H11" s="36">
        <v>2.5000000000000001E-2</v>
      </c>
      <c r="I11" s="37">
        <v>90432</v>
      </c>
      <c r="J11" s="38">
        <v>0</v>
      </c>
      <c r="K11" s="39">
        <v>90432</v>
      </c>
      <c r="L11" s="40">
        <v>0.11</v>
      </c>
      <c r="M11" s="35">
        <f>K11*1.11</f>
        <v>100379.52</v>
      </c>
      <c r="N11" s="41" t="s">
        <v>30</v>
      </c>
      <c r="O11" s="35" t="s">
        <v>18</v>
      </c>
    </row>
    <row r="12" spans="1:15" x14ac:dyDescent="0.25">
      <c r="A12" s="31" t="s">
        <v>40</v>
      </c>
      <c r="B12" s="32">
        <v>493</v>
      </c>
      <c r="C12" s="33">
        <v>94360</v>
      </c>
      <c r="D12" s="34" t="s">
        <v>24</v>
      </c>
      <c r="E12" s="31">
        <v>3</v>
      </c>
      <c r="F12" s="35" t="s">
        <v>29</v>
      </c>
      <c r="G12" s="35"/>
      <c r="H12" s="45">
        <v>2.5000000000000001E-2</v>
      </c>
      <c r="I12" s="19">
        <v>87809.04</v>
      </c>
      <c r="J12" s="38"/>
      <c r="K12" s="39"/>
      <c r="L12" s="40">
        <v>0.03</v>
      </c>
      <c r="M12" s="35">
        <f>L12*K12</f>
        <v>0</v>
      </c>
      <c r="N12" s="41">
        <v>0.06</v>
      </c>
      <c r="O12" s="35">
        <f>N12*K12</f>
        <v>0</v>
      </c>
    </row>
    <row r="13" spans="1:15" x14ac:dyDescent="0.25">
      <c r="A13" s="31"/>
      <c r="B13" s="32">
        <v>493</v>
      </c>
      <c r="C13" s="33">
        <v>94360</v>
      </c>
      <c r="D13" s="34"/>
      <c r="E13" s="31"/>
      <c r="F13" s="35" t="s">
        <v>31</v>
      </c>
      <c r="G13" s="35"/>
      <c r="H13" s="45">
        <v>2.5000000000000001E-2</v>
      </c>
      <c r="I13" s="19">
        <v>93085.92</v>
      </c>
      <c r="J13" s="38"/>
      <c r="K13" s="39"/>
      <c r="L13" s="40">
        <v>0.03</v>
      </c>
      <c r="M13" s="35">
        <f>L13*K13</f>
        <v>0</v>
      </c>
      <c r="N13" s="41">
        <v>0.06</v>
      </c>
      <c r="O13" s="35">
        <f>N13*K13</f>
        <v>0</v>
      </c>
    </row>
    <row r="14" spans="1:15" x14ac:dyDescent="0.25">
      <c r="A14" s="31"/>
      <c r="B14" s="32">
        <v>493</v>
      </c>
      <c r="C14" s="33">
        <v>94360</v>
      </c>
      <c r="D14" s="34"/>
      <c r="E14" s="31"/>
      <c r="F14" s="35" t="s">
        <v>41</v>
      </c>
      <c r="G14" s="35"/>
      <c r="H14" s="45">
        <v>2.5000000000000001E-2</v>
      </c>
      <c r="I14" s="19">
        <v>98351.28</v>
      </c>
      <c r="J14" s="38"/>
      <c r="K14" s="39"/>
      <c r="L14" s="40">
        <v>0.03</v>
      </c>
      <c r="M14" s="35">
        <f>L14*K14</f>
        <v>0</v>
      </c>
      <c r="N14" s="41">
        <v>0.06</v>
      </c>
      <c r="O14" s="35">
        <f>N14*K14</f>
        <v>0</v>
      </c>
    </row>
    <row r="15" spans="1:15" x14ac:dyDescent="0.25">
      <c r="A15" s="31" t="s">
        <v>36</v>
      </c>
      <c r="B15" s="32">
        <v>524</v>
      </c>
      <c r="C15" s="33">
        <v>112250</v>
      </c>
      <c r="D15" s="34" t="s">
        <v>15</v>
      </c>
      <c r="E15" s="31">
        <v>3</v>
      </c>
      <c r="F15" s="35" t="s">
        <v>16</v>
      </c>
      <c r="G15" s="35"/>
      <c r="H15" s="36">
        <v>8.1100000000000005E-2</v>
      </c>
      <c r="I15" s="37">
        <v>83741</v>
      </c>
      <c r="J15" s="36">
        <v>3.9199999999999999E-2</v>
      </c>
      <c r="K15" s="39">
        <v>87027.199999999997</v>
      </c>
      <c r="L15" s="40" t="s">
        <v>17</v>
      </c>
      <c r="M15" s="35" t="s">
        <v>18</v>
      </c>
      <c r="N15" s="41">
        <v>0.06</v>
      </c>
      <c r="O15" s="46">
        <f>K15*1.06</f>
        <v>92248.831999999995</v>
      </c>
    </row>
    <row r="16" spans="1:15" x14ac:dyDescent="0.25">
      <c r="A16" s="31" t="s">
        <v>20</v>
      </c>
      <c r="B16" s="32">
        <v>545</v>
      </c>
      <c r="C16" s="33">
        <v>108060</v>
      </c>
      <c r="D16" s="34" t="s">
        <v>15</v>
      </c>
      <c r="E16" s="31">
        <v>3</v>
      </c>
      <c r="F16" s="35" t="s">
        <v>16</v>
      </c>
      <c r="G16" s="35" t="s">
        <v>21</v>
      </c>
      <c r="H16" s="36" t="s">
        <v>22</v>
      </c>
      <c r="I16" s="37">
        <v>78265</v>
      </c>
      <c r="J16" s="38">
        <v>0</v>
      </c>
      <c r="K16" s="39">
        <v>78265</v>
      </c>
      <c r="L16" s="40">
        <v>0.1</v>
      </c>
      <c r="M16" s="35">
        <f>K16*1.1</f>
        <v>86091.5</v>
      </c>
      <c r="N16" s="41">
        <v>0.06</v>
      </c>
      <c r="O16" s="35">
        <f>K16*1.06</f>
        <v>82960.900000000009</v>
      </c>
    </row>
    <row r="17" spans="1:15" x14ac:dyDescent="0.25">
      <c r="A17" s="31" t="s">
        <v>38</v>
      </c>
      <c r="B17" s="32">
        <v>479</v>
      </c>
      <c r="C17" s="33">
        <v>68190</v>
      </c>
      <c r="D17" s="34" t="s">
        <v>15</v>
      </c>
      <c r="E17" s="31">
        <v>3</v>
      </c>
      <c r="F17" s="35" t="s">
        <v>16</v>
      </c>
      <c r="G17" s="35"/>
      <c r="H17" s="36">
        <v>0.08</v>
      </c>
      <c r="I17" s="37">
        <v>77339</v>
      </c>
      <c r="J17" s="38"/>
      <c r="K17" s="37">
        <v>77339</v>
      </c>
      <c r="L17" s="40" t="s">
        <v>17</v>
      </c>
      <c r="M17" s="35" t="s">
        <v>18</v>
      </c>
      <c r="N17" s="41" t="s">
        <v>30</v>
      </c>
      <c r="O17" s="35" t="s">
        <v>18</v>
      </c>
    </row>
    <row r="18" spans="1:15" x14ac:dyDescent="0.25">
      <c r="A18" s="21" t="s">
        <v>33</v>
      </c>
      <c r="B18" s="22">
        <v>668</v>
      </c>
      <c r="C18" s="23">
        <v>126550</v>
      </c>
      <c r="D18" s="24" t="s">
        <v>15</v>
      </c>
      <c r="E18" s="21">
        <v>3</v>
      </c>
      <c r="F18" s="25" t="s">
        <v>29</v>
      </c>
      <c r="G18" s="25"/>
      <c r="H18" s="26">
        <v>0.02</v>
      </c>
      <c r="I18" s="27">
        <v>95940</v>
      </c>
      <c r="J18" s="17">
        <v>4.6699999999999998E-2</v>
      </c>
      <c r="K18" s="14">
        <v>100416</v>
      </c>
      <c r="L18" s="15" t="s">
        <v>17</v>
      </c>
      <c r="M18" s="10" t="s">
        <v>18</v>
      </c>
      <c r="N18" s="16">
        <v>0.06</v>
      </c>
      <c r="O18" s="10">
        <f>K18*1.06</f>
        <v>106440.96000000001</v>
      </c>
    </row>
    <row r="19" spans="1:15" x14ac:dyDescent="0.25">
      <c r="A19" s="21"/>
      <c r="B19" s="22">
        <v>668</v>
      </c>
      <c r="C19" s="23">
        <v>126550</v>
      </c>
      <c r="D19" s="21"/>
      <c r="E19" s="28"/>
      <c r="F19" s="25" t="s">
        <v>34</v>
      </c>
      <c r="G19" s="25"/>
      <c r="H19" s="26">
        <v>0.02</v>
      </c>
      <c r="I19" s="25">
        <v>98340</v>
      </c>
      <c r="J19" s="17">
        <v>4.6699999999999998E-2</v>
      </c>
      <c r="K19" s="14">
        <v>102924</v>
      </c>
      <c r="L19" s="16" t="s">
        <v>17</v>
      </c>
      <c r="M19" s="10" t="s">
        <v>18</v>
      </c>
      <c r="N19" s="16">
        <v>0.06</v>
      </c>
      <c r="O19" s="10">
        <f>K19*1.06</f>
        <v>109099.44</v>
      </c>
    </row>
    <row r="20" spans="1:15" x14ac:dyDescent="0.25">
      <c r="A20" s="21"/>
      <c r="B20" s="22">
        <v>668</v>
      </c>
      <c r="C20" s="23">
        <v>126550</v>
      </c>
      <c r="D20" s="21"/>
      <c r="E20" s="28"/>
      <c r="F20" s="25" t="s">
        <v>35</v>
      </c>
      <c r="G20" s="25"/>
      <c r="H20" s="26">
        <v>0.02</v>
      </c>
      <c r="I20" s="25">
        <v>100740</v>
      </c>
      <c r="J20" s="17">
        <v>4.6699999999999998E-2</v>
      </c>
      <c r="K20" s="14">
        <v>105432</v>
      </c>
      <c r="L20" s="16" t="s">
        <v>17</v>
      </c>
      <c r="M20" s="10" t="s">
        <v>18</v>
      </c>
      <c r="N20" s="16">
        <v>0.06</v>
      </c>
      <c r="O20" s="10">
        <f>K20*1.06</f>
        <v>111757.92000000001</v>
      </c>
    </row>
    <row r="23" spans="1:15" x14ac:dyDescent="0.25">
      <c r="K23" s="47">
        <v>83789</v>
      </c>
    </row>
  </sheetData>
  <autoFilter ref="A1:O1" xr:uid="{00000000-0009-0000-0000-000000000000}">
    <sortState xmlns:xlrd2="http://schemas.microsoft.com/office/spreadsheetml/2017/richdata2" ref="A2:O20">
      <sortCondition ref="B1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tabSelected="1" topLeftCell="B1" zoomScaleNormal="100" workbookViewId="0">
      <pane ySplit="7" topLeftCell="A16" activePane="bottomLeft" state="frozen"/>
      <selection pane="bottomLeft" activeCell="D20" sqref="D20"/>
    </sheetView>
  </sheetViews>
  <sheetFormatPr defaultRowHeight="15" x14ac:dyDescent="0.25"/>
  <cols>
    <col min="1" max="1" width="19.140625" customWidth="1"/>
    <col min="2" max="2" width="11.5703125" customWidth="1"/>
    <col min="4" max="4" width="23.42578125" customWidth="1"/>
    <col min="5" max="5" width="15.85546875" customWidth="1"/>
    <col min="6" max="6" width="14.140625" customWidth="1"/>
    <col min="7" max="7" width="22.7109375" customWidth="1"/>
    <col min="8" max="8" width="19.7109375" customWidth="1"/>
    <col min="9" max="9" width="21" customWidth="1"/>
    <col min="10" max="10" width="20.28515625" customWidth="1"/>
    <col min="11" max="11" width="22.7109375" customWidth="1"/>
    <col min="13" max="13" width="12.5703125" customWidth="1"/>
    <col min="15" max="15" width="18.85546875" customWidth="1"/>
  </cols>
  <sheetData>
    <row r="1" spans="1:15" ht="60" x14ac:dyDescent="0.25">
      <c r="A1" s="48" t="s">
        <v>0</v>
      </c>
      <c r="B1" s="48" t="s">
        <v>1</v>
      </c>
      <c r="C1" s="48" t="s">
        <v>2</v>
      </c>
      <c r="D1" s="48" t="s">
        <v>3</v>
      </c>
      <c r="E1" s="185" t="s">
        <v>4</v>
      </c>
      <c r="F1" s="48" t="s">
        <v>5</v>
      </c>
      <c r="G1" s="48" t="s">
        <v>6</v>
      </c>
      <c r="H1" s="48" t="s">
        <v>170</v>
      </c>
      <c r="I1" s="186" t="s">
        <v>171</v>
      </c>
      <c r="J1" s="48" t="s">
        <v>180</v>
      </c>
      <c r="K1" s="48" t="s">
        <v>181</v>
      </c>
      <c r="L1" s="187" t="s">
        <v>10</v>
      </c>
      <c r="M1" s="49" t="s">
        <v>11</v>
      </c>
      <c r="N1" s="48" t="s">
        <v>12</v>
      </c>
      <c r="O1" s="48" t="s">
        <v>13</v>
      </c>
    </row>
    <row r="2" spans="1:15" x14ac:dyDescent="0.25">
      <c r="A2" s="6" t="s">
        <v>39</v>
      </c>
      <c r="B2" s="6">
        <v>349.56</v>
      </c>
      <c r="C2" s="223">
        <v>81030</v>
      </c>
      <c r="D2" s="9" t="s">
        <v>24</v>
      </c>
      <c r="E2" s="6">
        <v>3</v>
      </c>
      <c r="F2" s="10" t="s">
        <v>16</v>
      </c>
      <c r="G2" s="10"/>
      <c r="H2" s="13">
        <v>0.05</v>
      </c>
      <c r="I2" s="14">
        <v>120648</v>
      </c>
      <c r="J2" s="17">
        <v>3.9E-2</v>
      </c>
      <c r="K2" s="14">
        <v>125472</v>
      </c>
      <c r="L2" s="15" t="s">
        <v>17</v>
      </c>
      <c r="M2" s="10" t="s">
        <v>18</v>
      </c>
      <c r="N2" s="16">
        <v>0.06</v>
      </c>
      <c r="O2" s="10">
        <f t="shared" ref="O2:O7" si="0">K2*1.06</f>
        <v>133000.32000000001</v>
      </c>
    </row>
    <row r="3" spans="1:15" x14ac:dyDescent="0.25">
      <c r="A3" s="6" t="s">
        <v>23</v>
      </c>
      <c r="B3" s="9">
        <v>438.87</v>
      </c>
      <c r="C3" s="223">
        <v>87416</v>
      </c>
      <c r="D3" s="9" t="s">
        <v>24</v>
      </c>
      <c r="E3" s="6">
        <v>3</v>
      </c>
      <c r="F3" s="10" t="s">
        <v>25</v>
      </c>
      <c r="G3" s="10"/>
      <c r="H3" s="13">
        <v>0.04</v>
      </c>
      <c r="I3" s="14">
        <v>92087</v>
      </c>
      <c r="J3" s="17">
        <v>0</v>
      </c>
      <c r="K3" s="14">
        <v>92087</v>
      </c>
      <c r="L3" s="232">
        <v>0.06</v>
      </c>
      <c r="M3" s="10">
        <f>K3*1.06</f>
        <v>97612.22</v>
      </c>
      <c r="N3" s="16">
        <v>0.06</v>
      </c>
      <c r="O3" s="10">
        <f t="shared" si="0"/>
        <v>97612.22</v>
      </c>
    </row>
    <row r="4" spans="1:15" x14ac:dyDescent="0.25">
      <c r="A4" s="6" t="s">
        <v>19</v>
      </c>
      <c r="B4" s="9">
        <v>445</v>
      </c>
      <c r="C4" s="223">
        <v>88799</v>
      </c>
      <c r="D4" s="9" t="s">
        <v>15</v>
      </c>
      <c r="E4" s="6">
        <v>3</v>
      </c>
      <c r="F4" s="10" t="s">
        <v>16</v>
      </c>
      <c r="G4" s="10"/>
      <c r="H4" s="90">
        <v>3.5000000000000003E-2</v>
      </c>
      <c r="I4" s="14">
        <v>85452</v>
      </c>
      <c r="J4" s="17">
        <v>3.0300000000000001E-2</v>
      </c>
      <c r="K4" s="14">
        <v>88020</v>
      </c>
      <c r="L4" s="15" t="s">
        <v>17</v>
      </c>
      <c r="M4" s="10" t="s">
        <v>18</v>
      </c>
      <c r="N4" s="16">
        <v>0.06</v>
      </c>
      <c r="O4" s="10">
        <f t="shared" si="0"/>
        <v>93301.200000000012</v>
      </c>
    </row>
    <row r="5" spans="1:15" x14ac:dyDescent="0.25">
      <c r="A5" s="6" t="s">
        <v>20</v>
      </c>
      <c r="B5" s="9">
        <v>699.74</v>
      </c>
      <c r="C5" s="223">
        <v>109682</v>
      </c>
      <c r="D5" s="9" t="s">
        <v>15</v>
      </c>
      <c r="E5" s="6">
        <v>3</v>
      </c>
      <c r="F5" s="10" t="s">
        <v>16</v>
      </c>
      <c r="G5" s="10" t="s">
        <v>21</v>
      </c>
      <c r="H5" s="1" t="s">
        <v>154</v>
      </c>
      <c r="I5" s="14">
        <v>78265</v>
      </c>
      <c r="J5" s="17">
        <v>0</v>
      </c>
      <c r="K5" s="14">
        <v>78265</v>
      </c>
      <c r="L5" s="15">
        <v>0.1</v>
      </c>
      <c r="M5" s="10">
        <f>K5*1.1</f>
        <v>86091.5</v>
      </c>
      <c r="N5" s="16">
        <v>0.06</v>
      </c>
      <c r="O5" s="10">
        <f t="shared" si="0"/>
        <v>82960.900000000009</v>
      </c>
    </row>
    <row r="6" spans="1:15" x14ac:dyDescent="0.25">
      <c r="A6" s="6" t="s">
        <v>36</v>
      </c>
      <c r="B6" s="9">
        <v>528.35</v>
      </c>
      <c r="C6" s="223">
        <v>111129</v>
      </c>
      <c r="D6" s="9" t="s">
        <v>15</v>
      </c>
      <c r="E6" s="6">
        <v>3</v>
      </c>
      <c r="F6" s="10" t="s">
        <v>16</v>
      </c>
      <c r="G6" s="10"/>
      <c r="H6" s="13">
        <v>0.08</v>
      </c>
      <c r="I6" s="14">
        <v>118842.88</v>
      </c>
      <c r="J6" s="17">
        <v>0</v>
      </c>
      <c r="K6" s="14">
        <v>118843</v>
      </c>
      <c r="L6" s="15" t="s">
        <v>17</v>
      </c>
      <c r="M6" s="10" t="s">
        <v>18</v>
      </c>
      <c r="N6" s="16">
        <v>0.06</v>
      </c>
      <c r="O6" s="10">
        <f t="shared" si="0"/>
        <v>125973.58</v>
      </c>
    </row>
    <row r="7" spans="1:15" x14ac:dyDescent="0.25">
      <c r="A7" s="6" t="s">
        <v>33</v>
      </c>
      <c r="B7" s="6">
        <v>745</v>
      </c>
      <c r="C7" s="223">
        <v>130848</v>
      </c>
      <c r="D7" s="9" t="s">
        <v>15</v>
      </c>
      <c r="E7" s="6">
        <v>3</v>
      </c>
      <c r="F7" s="10" t="s">
        <v>16</v>
      </c>
      <c r="G7" s="10"/>
      <c r="H7" s="13">
        <v>0.04</v>
      </c>
      <c r="I7" s="14">
        <v>109644</v>
      </c>
      <c r="J7" s="17">
        <v>3.3000000000000002E-2</v>
      </c>
      <c r="K7" s="14">
        <v>113268</v>
      </c>
      <c r="L7" s="15" t="s">
        <v>17</v>
      </c>
      <c r="M7" s="10" t="s">
        <v>18</v>
      </c>
      <c r="N7" s="16">
        <v>0.06</v>
      </c>
      <c r="O7" s="10">
        <f t="shared" si="0"/>
        <v>120064.08</v>
      </c>
    </row>
    <row r="8" spans="1:15" x14ac:dyDescent="0.25">
      <c r="A8" s="72"/>
      <c r="B8" s="72"/>
      <c r="C8" s="102"/>
      <c r="D8" s="72"/>
      <c r="E8" s="72"/>
      <c r="F8" s="95"/>
      <c r="G8" s="95"/>
      <c r="H8" s="99"/>
      <c r="I8" s="95"/>
      <c r="J8" s="100"/>
      <c r="K8" s="69"/>
      <c r="L8" s="101"/>
      <c r="M8" s="95"/>
      <c r="N8" s="101"/>
      <c r="O8" s="95"/>
    </row>
    <row r="9" spans="1:15" x14ac:dyDescent="0.25">
      <c r="A9" s="72"/>
      <c r="B9" s="72"/>
      <c r="C9" s="102"/>
      <c r="D9" s="72"/>
      <c r="E9" s="72"/>
      <c r="F9" s="95"/>
      <c r="G9" s="95"/>
      <c r="H9" s="99"/>
      <c r="I9" s="95"/>
      <c r="J9" s="100"/>
      <c r="K9" s="69"/>
      <c r="L9" s="101"/>
      <c r="M9" s="95"/>
      <c r="N9" s="101"/>
      <c r="O9" s="95"/>
    </row>
    <row r="10" spans="1:15" ht="15.75" customHeight="1" x14ac:dyDescent="0.25">
      <c r="K10" s="47"/>
    </row>
    <row r="11" spans="1:15" ht="15.75" customHeight="1" x14ac:dyDescent="0.25">
      <c r="A11" s="105" t="s">
        <v>167</v>
      </c>
      <c r="B11" s="47">
        <f>AVERAGE(K2:K7)</f>
        <v>102659.16666666667</v>
      </c>
      <c r="C11" s="98"/>
      <c r="D11" s="66"/>
      <c r="K11" s="47"/>
    </row>
    <row r="12" spans="1:15" ht="15.75" customHeight="1" x14ac:dyDescent="0.25">
      <c r="A12" s="105" t="s">
        <v>166</v>
      </c>
      <c r="B12" s="47">
        <f>AVERAGE(K5,K6,K7)</f>
        <v>103458.66666666667</v>
      </c>
      <c r="C12" s="98"/>
      <c r="D12" s="72"/>
    </row>
    <row r="13" spans="1:15" x14ac:dyDescent="0.25">
      <c r="A13" s="230" t="s">
        <v>164</v>
      </c>
      <c r="B13" s="47">
        <f>AVERAGE(K2,K3,K4)</f>
        <v>101859.66666666667</v>
      </c>
      <c r="C13" s="98"/>
      <c r="D13" s="66"/>
      <c r="K13" s="111"/>
    </row>
    <row r="14" spans="1:15" x14ac:dyDescent="0.25">
      <c r="A14" s="96"/>
      <c r="C14" s="96"/>
      <c r="K14" s="47"/>
    </row>
    <row r="15" spans="1:15" x14ac:dyDescent="0.25">
      <c r="A15" s="96"/>
      <c r="C15" s="97"/>
    </row>
    <row r="16" spans="1:15" x14ac:dyDescent="0.25">
      <c r="A16" s="96"/>
      <c r="C16" s="96"/>
      <c r="K16" s="47"/>
    </row>
    <row r="20" spans="1:15" x14ac:dyDescent="0.25">
      <c r="A20" s="6" t="s">
        <v>69</v>
      </c>
      <c r="B20" s="7">
        <v>613.75</v>
      </c>
      <c r="C20" s="223">
        <v>98573</v>
      </c>
      <c r="D20" s="9" t="s">
        <v>24</v>
      </c>
      <c r="E20" s="6">
        <v>2</v>
      </c>
      <c r="F20" s="10" t="s">
        <v>29</v>
      </c>
      <c r="G20" s="10"/>
      <c r="H20" s="11">
        <v>0.03</v>
      </c>
      <c r="I20" s="14">
        <v>100792</v>
      </c>
      <c r="J20" s="231"/>
      <c r="K20" s="69"/>
      <c r="L20" s="16">
        <v>0.03</v>
      </c>
      <c r="M20" s="10">
        <f>I20*1.03</f>
        <v>103815.76000000001</v>
      </c>
      <c r="N20" s="16">
        <v>0.06</v>
      </c>
      <c r="O20" s="10">
        <f>I20*1.06</f>
        <v>106839.52</v>
      </c>
    </row>
    <row r="21" spans="1:15" x14ac:dyDescent="0.25">
      <c r="A21" s="6" t="s">
        <v>70</v>
      </c>
      <c r="B21" s="7">
        <v>613.75</v>
      </c>
      <c r="C21" s="223">
        <v>98573</v>
      </c>
      <c r="D21" s="9"/>
      <c r="E21" s="6">
        <v>1</v>
      </c>
      <c r="F21" s="10" t="s">
        <v>31</v>
      </c>
      <c r="G21" s="10"/>
      <c r="H21" s="11">
        <v>0.03</v>
      </c>
      <c r="I21" s="14">
        <v>103816</v>
      </c>
      <c r="J21" s="231"/>
      <c r="K21" s="69"/>
      <c r="L21" s="16">
        <v>0.03</v>
      </c>
      <c r="M21" s="10">
        <f t="shared" ref="M21:M22" si="1">I21*1.03</f>
        <v>106930.48</v>
      </c>
      <c r="N21" s="16">
        <v>0.06</v>
      </c>
      <c r="O21" s="10">
        <f t="shared" ref="O21:O22" si="2">I21*1.06</f>
        <v>110044.96</v>
      </c>
    </row>
    <row r="22" spans="1:15" x14ac:dyDescent="0.25">
      <c r="A22" s="6" t="s">
        <v>71</v>
      </c>
      <c r="B22" s="7">
        <v>613.75</v>
      </c>
      <c r="C22" s="223">
        <v>98573</v>
      </c>
      <c r="D22" s="9"/>
      <c r="E22" s="6"/>
      <c r="F22" s="10" t="s">
        <v>41</v>
      </c>
      <c r="G22" s="10"/>
      <c r="H22" s="11">
        <v>0.03</v>
      </c>
      <c r="I22" s="14">
        <v>106931</v>
      </c>
      <c r="J22" s="231"/>
      <c r="K22" s="69"/>
      <c r="L22" s="16">
        <v>0.03</v>
      </c>
      <c r="M22" s="10">
        <f t="shared" si="1"/>
        <v>110138.93000000001</v>
      </c>
      <c r="N22" s="16">
        <v>0.06</v>
      </c>
      <c r="O22" s="10">
        <f t="shared" si="2"/>
        <v>113346.86</v>
      </c>
    </row>
    <row r="24" spans="1:15" x14ac:dyDescent="0.25">
      <c r="I24" s="190"/>
    </row>
    <row r="25" spans="1:15" x14ac:dyDescent="0.25">
      <c r="H25" s="95"/>
    </row>
    <row r="26" spans="1:15" x14ac:dyDescent="0.25">
      <c r="H26" s="95"/>
    </row>
    <row r="27" spans="1:15" x14ac:dyDescent="0.25">
      <c r="H27" s="95"/>
    </row>
  </sheetData>
  <autoFilter ref="A1:O1" xr:uid="{00000000-0009-0000-0000-000001000000}">
    <sortState xmlns:xlrd2="http://schemas.microsoft.com/office/spreadsheetml/2017/richdata2" ref="A2:O7">
      <sortCondition ref="C1"/>
    </sortState>
  </autoFilter>
  <sortState xmlns:xlrd2="http://schemas.microsoft.com/office/spreadsheetml/2017/richdata2" ref="A2:O7">
    <sortCondition ref="K2:K7"/>
  </sortState>
  <pageMargins left="0.25" right="0.25" top="0.75" bottom="0.75" header="0.3" footer="0.3"/>
  <pageSetup paperSize="17" scale="8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5"/>
  <sheetViews>
    <sheetView workbookViewId="0">
      <selection activeCell="I28" sqref="I28"/>
    </sheetView>
  </sheetViews>
  <sheetFormatPr defaultRowHeight="15" x14ac:dyDescent="0.25"/>
  <cols>
    <col min="1" max="1" width="22.28515625" style="66" customWidth="1"/>
    <col min="2" max="2" width="11.7109375" customWidth="1"/>
    <col min="3" max="3" width="12.140625" customWidth="1"/>
    <col min="4" max="4" width="10.85546875" customWidth="1"/>
    <col min="5" max="5" width="11.42578125" customWidth="1"/>
    <col min="6" max="6" width="16.85546875" customWidth="1"/>
    <col min="9" max="9" width="13.42578125" customWidth="1"/>
    <col min="12" max="12" width="14" customWidth="1"/>
  </cols>
  <sheetData>
    <row r="1" spans="1:17" ht="75" x14ac:dyDescent="0.25">
      <c r="A1" s="48" t="s">
        <v>0</v>
      </c>
      <c r="B1" s="49" t="s">
        <v>42</v>
      </c>
      <c r="C1" s="49" t="s">
        <v>43</v>
      </c>
      <c r="D1" s="49" t="s">
        <v>44</v>
      </c>
      <c r="E1" s="49" t="s">
        <v>5</v>
      </c>
      <c r="F1" s="50" t="s">
        <v>45</v>
      </c>
      <c r="G1" s="51" t="s">
        <v>46</v>
      </c>
      <c r="H1" s="51" t="s">
        <v>47</v>
      </c>
      <c r="I1" s="51" t="s">
        <v>48</v>
      </c>
      <c r="J1" s="51" t="s">
        <v>49</v>
      </c>
      <c r="K1" s="51" t="s">
        <v>50</v>
      </c>
      <c r="L1" s="51" t="s">
        <v>51</v>
      </c>
      <c r="M1" s="51" t="s">
        <v>52</v>
      </c>
      <c r="N1" s="49" t="s">
        <v>53</v>
      </c>
      <c r="O1" s="48" t="s">
        <v>12</v>
      </c>
      <c r="P1" s="66"/>
      <c r="Q1" s="67"/>
    </row>
    <row r="2" spans="1:17" x14ac:dyDescent="0.25">
      <c r="A2" s="103" t="s">
        <v>60</v>
      </c>
      <c r="B2" s="23">
        <v>52750</v>
      </c>
      <c r="C2" s="84">
        <v>200</v>
      </c>
      <c r="D2" s="52">
        <v>16</v>
      </c>
      <c r="E2" s="52"/>
      <c r="F2" s="85"/>
      <c r="G2" s="52" t="s">
        <v>54</v>
      </c>
      <c r="H2" s="64">
        <v>2.4E-2</v>
      </c>
      <c r="I2" s="65">
        <v>18432</v>
      </c>
      <c r="J2" s="25">
        <v>131112</v>
      </c>
      <c r="K2" s="16">
        <v>0</v>
      </c>
      <c r="L2" s="69">
        <v>18432</v>
      </c>
      <c r="M2" s="20">
        <v>131172</v>
      </c>
      <c r="N2" s="1" t="s">
        <v>17</v>
      </c>
      <c r="O2" s="1" t="s">
        <v>54</v>
      </c>
      <c r="P2" s="66"/>
      <c r="Q2" s="67"/>
    </row>
    <row r="3" spans="1:17" x14ac:dyDescent="0.25">
      <c r="A3" s="22" t="s">
        <v>14</v>
      </c>
      <c r="B3" s="23">
        <v>63290</v>
      </c>
      <c r="C3" s="24">
        <v>329</v>
      </c>
      <c r="D3" s="24">
        <v>16</v>
      </c>
      <c r="E3" s="24"/>
      <c r="F3" s="52"/>
      <c r="G3" s="52" t="s">
        <v>54</v>
      </c>
      <c r="H3" s="53">
        <v>0</v>
      </c>
      <c r="I3" s="54">
        <v>14400</v>
      </c>
      <c r="J3" s="54">
        <v>127080</v>
      </c>
      <c r="K3" s="55">
        <v>0</v>
      </c>
      <c r="L3" s="57">
        <v>14400</v>
      </c>
      <c r="M3" s="56">
        <v>127140</v>
      </c>
      <c r="N3" s="16" t="s">
        <v>17</v>
      </c>
      <c r="O3" s="16" t="s">
        <v>54</v>
      </c>
      <c r="P3" s="66"/>
      <c r="Q3" s="67"/>
    </row>
    <row r="4" spans="1:17" ht="30" x14ac:dyDescent="0.25">
      <c r="A4" s="22" t="s">
        <v>58</v>
      </c>
      <c r="B4" s="23">
        <v>81160</v>
      </c>
      <c r="C4" s="24">
        <v>335</v>
      </c>
      <c r="D4" s="24">
        <v>25</v>
      </c>
      <c r="E4" s="24"/>
      <c r="F4" s="52"/>
      <c r="G4" s="52" t="s">
        <v>54</v>
      </c>
      <c r="H4" s="59" t="s">
        <v>59</v>
      </c>
      <c r="I4" s="25">
        <v>20420</v>
      </c>
      <c r="J4" s="25">
        <v>133100</v>
      </c>
      <c r="K4" s="55">
        <v>0</v>
      </c>
      <c r="L4" s="25">
        <v>20420</v>
      </c>
      <c r="M4" s="56">
        <v>133160</v>
      </c>
      <c r="N4" s="16" t="s">
        <v>17</v>
      </c>
      <c r="O4" s="16" t="s">
        <v>54</v>
      </c>
      <c r="P4" s="68"/>
      <c r="Q4" s="67"/>
    </row>
    <row r="5" spans="1:17" x14ac:dyDescent="0.25">
      <c r="A5" s="32" t="s">
        <v>19</v>
      </c>
      <c r="B5" s="33">
        <v>82940</v>
      </c>
      <c r="C5" s="34">
        <v>400</v>
      </c>
      <c r="D5" s="34">
        <v>20</v>
      </c>
      <c r="E5" s="31"/>
      <c r="F5" s="31"/>
      <c r="G5" s="86" t="s">
        <v>54</v>
      </c>
      <c r="H5" s="63">
        <v>0</v>
      </c>
      <c r="I5" s="61">
        <v>15000</v>
      </c>
      <c r="J5" s="61">
        <v>127680</v>
      </c>
      <c r="K5" s="60">
        <v>0.04</v>
      </c>
      <c r="L5" s="61">
        <v>15600</v>
      </c>
      <c r="M5" s="61">
        <v>128340</v>
      </c>
      <c r="N5" s="41" t="s">
        <v>17</v>
      </c>
      <c r="O5" s="41" t="s">
        <v>54</v>
      </c>
      <c r="P5" s="68"/>
      <c r="Q5" s="67"/>
    </row>
    <row r="6" spans="1:17" x14ac:dyDescent="0.25">
      <c r="A6" s="32" t="s">
        <v>23</v>
      </c>
      <c r="B6" s="33">
        <v>86750</v>
      </c>
      <c r="C6" s="34">
        <v>450</v>
      </c>
      <c r="D6" s="34">
        <v>25</v>
      </c>
      <c r="E6" s="34" t="s">
        <v>29</v>
      </c>
      <c r="F6" s="31" t="s">
        <v>55</v>
      </c>
      <c r="G6" s="86" t="s">
        <v>54</v>
      </c>
      <c r="H6" s="63">
        <v>0.1237</v>
      </c>
      <c r="I6" s="61">
        <v>24835.16</v>
      </c>
      <c r="J6" s="61">
        <v>137515.16</v>
      </c>
      <c r="K6" s="63">
        <v>0</v>
      </c>
      <c r="L6" s="61">
        <v>24835.16</v>
      </c>
      <c r="M6" s="61">
        <v>137575.16</v>
      </c>
      <c r="N6" s="42">
        <v>0.12</v>
      </c>
      <c r="O6" s="41" t="s">
        <v>54</v>
      </c>
      <c r="P6" s="66"/>
      <c r="Q6" s="67"/>
    </row>
    <row r="7" spans="1:17" x14ac:dyDescent="0.25">
      <c r="A7" s="32"/>
      <c r="B7" s="33">
        <v>86750</v>
      </c>
      <c r="C7" s="34">
        <v>450</v>
      </c>
      <c r="D7" s="34"/>
      <c r="E7" s="34" t="s">
        <v>31</v>
      </c>
      <c r="F7" s="31" t="s">
        <v>55</v>
      </c>
      <c r="G7" s="86" t="s">
        <v>54</v>
      </c>
      <c r="H7" s="63"/>
      <c r="I7" s="61">
        <v>25828.57</v>
      </c>
      <c r="J7" s="61">
        <v>138508.57</v>
      </c>
      <c r="K7" s="63">
        <v>0</v>
      </c>
      <c r="L7" s="61">
        <v>25828.57</v>
      </c>
      <c r="M7" s="61">
        <v>158512.57</v>
      </c>
      <c r="N7" s="42">
        <v>0.12</v>
      </c>
      <c r="O7" s="41" t="s">
        <v>54</v>
      </c>
      <c r="P7" s="66"/>
      <c r="Q7" s="67"/>
    </row>
    <row r="8" spans="1:17" x14ac:dyDescent="0.25">
      <c r="A8" s="32"/>
      <c r="B8" s="33">
        <v>86750</v>
      </c>
      <c r="C8" s="34">
        <v>450</v>
      </c>
      <c r="D8" s="34"/>
      <c r="E8" s="34" t="s">
        <v>41</v>
      </c>
      <c r="F8" s="31" t="s">
        <v>55</v>
      </c>
      <c r="G8" s="86" t="s">
        <v>56</v>
      </c>
      <c r="H8" s="63"/>
      <c r="I8" s="61">
        <v>26861.72</v>
      </c>
      <c r="J8" s="61">
        <v>139541.72</v>
      </c>
      <c r="K8" s="63">
        <v>0</v>
      </c>
      <c r="L8" s="61">
        <v>26861.72</v>
      </c>
      <c r="M8" s="61">
        <v>159545.72</v>
      </c>
      <c r="N8" s="42">
        <v>0.12</v>
      </c>
      <c r="O8" s="41" t="s">
        <v>54</v>
      </c>
      <c r="P8" s="66"/>
      <c r="Q8" s="67"/>
    </row>
    <row r="9" spans="1:17" x14ac:dyDescent="0.25">
      <c r="A9" s="32" t="s">
        <v>28</v>
      </c>
      <c r="B9" s="33">
        <v>48260</v>
      </c>
      <c r="C9" s="34">
        <v>482</v>
      </c>
      <c r="D9" s="34">
        <v>30</v>
      </c>
      <c r="E9" s="34" t="s">
        <v>29</v>
      </c>
      <c r="F9" s="87" t="s">
        <v>57</v>
      </c>
      <c r="G9" s="86" t="s">
        <v>54</v>
      </c>
      <c r="H9" s="63">
        <v>2.5000000000000001E-2</v>
      </c>
      <c r="I9" s="61">
        <v>23784</v>
      </c>
      <c r="J9" s="61">
        <v>136464</v>
      </c>
      <c r="K9" s="63">
        <v>0</v>
      </c>
      <c r="L9" s="61">
        <v>23784</v>
      </c>
      <c r="M9" s="62">
        <v>136524</v>
      </c>
      <c r="N9" s="41">
        <v>0.11</v>
      </c>
      <c r="O9" s="41" t="s">
        <v>30</v>
      </c>
      <c r="P9" s="66"/>
      <c r="Q9" s="67"/>
    </row>
    <row r="10" spans="1:17" x14ac:dyDescent="0.25">
      <c r="A10" s="32"/>
      <c r="B10" s="33">
        <v>48260</v>
      </c>
      <c r="C10" s="34">
        <v>482</v>
      </c>
      <c r="D10" s="34"/>
      <c r="E10" s="34" t="s">
        <v>31</v>
      </c>
      <c r="F10" s="87"/>
      <c r="G10" s="86" t="s">
        <v>54</v>
      </c>
      <c r="H10" s="63">
        <v>2.5000000000000001E-2</v>
      </c>
      <c r="I10" s="61">
        <v>25212</v>
      </c>
      <c r="J10" s="61">
        <v>137892</v>
      </c>
      <c r="K10" s="63">
        <v>0</v>
      </c>
      <c r="L10" s="61">
        <v>25212</v>
      </c>
      <c r="M10" s="62">
        <v>137952</v>
      </c>
      <c r="N10" s="41">
        <v>0.11</v>
      </c>
      <c r="O10" s="41" t="s">
        <v>30</v>
      </c>
      <c r="P10" s="66"/>
      <c r="Q10" s="67"/>
    </row>
    <row r="11" spans="1:17" x14ac:dyDescent="0.25">
      <c r="A11" s="32"/>
      <c r="B11" s="33">
        <v>48260</v>
      </c>
      <c r="C11" s="34">
        <v>482</v>
      </c>
      <c r="D11" s="34"/>
      <c r="E11" s="31" t="s">
        <v>41</v>
      </c>
      <c r="F11" s="87"/>
      <c r="G11" s="86" t="s">
        <v>54</v>
      </c>
      <c r="H11" s="63">
        <v>2.5000000000000001E-2</v>
      </c>
      <c r="I11" s="61">
        <v>25464</v>
      </c>
      <c r="J11" s="61">
        <v>138144</v>
      </c>
      <c r="K11" s="63">
        <v>1.46E-2</v>
      </c>
      <c r="L11" s="61">
        <v>25836</v>
      </c>
      <c r="M11" s="62">
        <v>138576</v>
      </c>
      <c r="N11" s="41">
        <v>0.11</v>
      </c>
      <c r="O11" s="41" t="s">
        <v>30</v>
      </c>
      <c r="P11" s="66"/>
      <c r="Q11" s="67"/>
    </row>
    <row r="12" spans="1:17" x14ac:dyDescent="0.25">
      <c r="A12" s="32" t="s">
        <v>40</v>
      </c>
      <c r="B12" s="33">
        <v>94360</v>
      </c>
      <c r="C12" s="34">
        <v>493</v>
      </c>
      <c r="D12" s="34">
        <v>39</v>
      </c>
      <c r="E12" s="31"/>
      <c r="F12" s="31"/>
      <c r="G12" s="31" t="s">
        <v>54</v>
      </c>
      <c r="H12" s="88">
        <v>0.1</v>
      </c>
      <c r="I12" s="30">
        <v>49495</v>
      </c>
      <c r="J12" s="35">
        <v>162175</v>
      </c>
      <c r="K12" s="63"/>
      <c r="L12" s="61"/>
      <c r="M12" s="61">
        <v>112740</v>
      </c>
      <c r="N12" s="41" t="s">
        <v>17</v>
      </c>
      <c r="O12" s="41" t="s">
        <v>54</v>
      </c>
      <c r="P12" s="66"/>
      <c r="Q12" s="67"/>
    </row>
    <row r="13" spans="1:17" x14ac:dyDescent="0.25">
      <c r="A13" s="32" t="s">
        <v>36</v>
      </c>
      <c r="B13" s="33">
        <v>112250</v>
      </c>
      <c r="C13" s="34">
        <v>524</v>
      </c>
      <c r="D13" s="34">
        <v>22</v>
      </c>
      <c r="E13" s="31"/>
      <c r="F13" s="31"/>
      <c r="G13" s="86" t="s">
        <v>54</v>
      </c>
      <c r="H13" s="60">
        <v>4.0500000000000001E-2</v>
      </c>
      <c r="I13" s="61">
        <v>26208</v>
      </c>
      <c r="J13" s="61">
        <v>158832</v>
      </c>
      <c r="K13" s="60">
        <v>0.02</v>
      </c>
      <c r="L13" s="61">
        <v>26728</v>
      </c>
      <c r="M13" s="61">
        <v>159412</v>
      </c>
      <c r="N13" s="41" t="s">
        <v>17</v>
      </c>
      <c r="O13" s="41" t="s">
        <v>54</v>
      </c>
      <c r="P13" s="66"/>
      <c r="Q13" s="67"/>
    </row>
    <row r="14" spans="1:17" x14ac:dyDescent="0.25">
      <c r="A14" s="32" t="s">
        <v>20</v>
      </c>
      <c r="B14" s="33">
        <v>108060</v>
      </c>
      <c r="C14" s="34">
        <v>610</v>
      </c>
      <c r="D14" s="34">
        <v>27</v>
      </c>
      <c r="E14" s="34"/>
      <c r="F14" s="31" t="s">
        <v>55</v>
      </c>
      <c r="G14" s="87" t="s">
        <v>54</v>
      </c>
      <c r="H14" s="63">
        <v>0</v>
      </c>
      <c r="I14" s="61">
        <v>19694</v>
      </c>
      <c r="J14" s="61">
        <v>152318</v>
      </c>
      <c r="K14" s="63">
        <v>0</v>
      </c>
      <c r="L14" s="61">
        <v>19694</v>
      </c>
      <c r="M14" s="61">
        <v>152378</v>
      </c>
      <c r="N14" s="41">
        <v>0.1</v>
      </c>
      <c r="O14" s="41" t="s">
        <v>54</v>
      </c>
      <c r="P14" s="66"/>
      <c r="Q14" s="67"/>
    </row>
    <row r="15" spans="1:17" x14ac:dyDescent="0.25">
      <c r="A15" s="32" t="s">
        <v>38</v>
      </c>
      <c r="B15" s="33">
        <v>68190</v>
      </c>
      <c r="C15" s="34">
        <v>610</v>
      </c>
      <c r="D15" s="34">
        <v>19</v>
      </c>
      <c r="E15" s="34"/>
      <c r="F15" s="31"/>
      <c r="G15" s="31" t="s">
        <v>54</v>
      </c>
      <c r="H15" s="88">
        <v>0.18479999999999999</v>
      </c>
      <c r="I15" s="35">
        <v>21319</v>
      </c>
      <c r="J15" s="35">
        <v>133999</v>
      </c>
      <c r="K15" s="60"/>
      <c r="L15" s="35">
        <v>21319</v>
      </c>
      <c r="M15" s="62">
        <v>112740</v>
      </c>
      <c r="N15" s="41" t="s">
        <v>17</v>
      </c>
      <c r="O15" s="41" t="s">
        <v>30</v>
      </c>
      <c r="P15" s="66"/>
      <c r="Q15" s="67"/>
    </row>
    <row r="16" spans="1:17" x14ac:dyDescent="0.25">
      <c r="A16" s="7" t="s">
        <v>33</v>
      </c>
      <c r="B16" s="83">
        <v>126550</v>
      </c>
      <c r="C16" s="6">
        <v>668</v>
      </c>
      <c r="D16" s="6">
        <v>30</v>
      </c>
      <c r="E16" s="10" t="s">
        <v>29</v>
      </c>
      <c r="F16" s="6"/>
      <c r="G16" s="1" t="s">
        <v>54</v>
      </c>
      <c r="H16" s="55">
        <v>0.02</v>
      </c>
      <c r="I16" s="57">
        <v>20592</v>
      </c>
      <c r="J16" s="57">
        <v>153216</v>
      </c>
      <c r="K16" s="58">
        <v>4.6699999999999998E-2</v>
      </c>
      <c r="L16" s="57">
        <v>21552</v>
      </c>
      <c r="M16" s="57">
        <v>154236</v>
      </c>
      <c r="N16" s="16" t="s">
        <v>17</v>
      </c>
      <c r="O16" s="16" t="s">
        <v>54</v>
      </c>
      <c r="P16" s="66"/>
      <c r="Q16" s="67"/>
    </row>
    <row r="17" spans="1:17" x14ac:dyDescent="0.25">
      <c r="A17" s="6"/>
      <c r="B17" s="8">
        <v>126550</v>
      </c>
      <c r="C17" s="6">
        <v>668</v>
      </c>
      <c r="D17" s="6"/>
      <c r="E17" s="10" t="s">
        <v>34</v>
      </c>
      <c r="F17" s="6"/>
      <c r="G17" s="1" t="s">
        <v>54</v>
      </c>
      <c r="H17" s="55"/>
      <c r="I17" s="57">
        <v>21108</v>
      </c>
      <c r="J17" s="57">
        <v>153732</v>
      </c>
      <c r="K17" s="58">
        <v>4.6699999999999998E-2</v>
      </c>
      <c r="L17" s="57">
        <v>22092</v>
      </c>
      <c r="M17" s="57">
        <v>154776</v>
      </c>
      <c r="N17" s="16" t="s">
        <v>17</v>
      </c>
      <c r="O17" s="16" t="s">
        <v>54</v>
      </c>
      <c r="P17" s="66"/>
      <c r="Q17" s="66"/>
    </row>
    <row r="18" spans="1:17" x14ac:dyDescent="0.25">
      <c r="A18" s="6"/>
      <c r="B18" s="8">
        <v>126550</v>
      </c>
      <c r="C18" s="6">
        <v>668</v>
      </c>
      <c r="D18" s="6"/>
      <c r="E18" s="10" t="s">
        <v>35</v>
      </c>
      <c r="F18" s="6"/>
      <c r="G18" s="1" t="s">
        <v>54</v>
      </c>
      <c r="H18" s="55"/>
      <c r="I18" s="57">
        <v>21624</v>
      </c>
      <c r="J18" s="57">
        <v>154248</v>
      </c>
      <c r="K18" s="58">
        <v>4.6699999999999998E-2</v>
      </c>
      <c r="L18" s="57">
        <v>22632</v>
      </c>
      <c r="M18" s="57">
        <v>155316</v>
      </c>
      <c r="N18" s="16" t="s">
        <v>17</v>
      </c>
      <c r="O18" s="16" t="s">
        <v>54</v>
      </c>
      <c r="P18" s="66"/>
      <c r="Q18" s="66"/>
    </row>
    <row r="19" spans="1:17" x14ac:dyDescent="0.25"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7" x14ac:dyDescent="0.25"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5"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x14ac:dyDescent="0.25"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9">
        <v>23570</v>
      </c>
      <c r="M22" s="66"/>
      <c r="N22" s="66"/>
      <c r="O22" s="66"/>
      <c r="P22" s="66"/>
      <c r="Q22" s="66"/>
    </row>
    <row r="23" spans="1:17" x14ac:dyDescent="0.25"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spans="1:17" x14ac:dyDescent="0.25">
      <c r="A24" s="104"/>
      <c r="B24" s="70"/>
      <c r="C24" s="70"/>
      <c r="D24" s="70"/>
      <c r="E24" s="70"/>
      <c r="F24" s="70"/>
      <c r="G24" s="70"/>
      <c r="H24" s="71"/>
      <c r="I24" s="72"/>
      <c r="J24" s="71"/>
      <c r="K24" s="73"/>
      <c r="L24" s="66"/>
      <c r="M24" s="66"/>
      <c r="N24" s="66"/>
      <c r="O24" s="66"/>
      <c r="P24" s="66"/>
    </row>
    <row r="25" spans="1:17" x14ac:dyDescent="0.25">
      <c r="A25" s="72"/>
      <c r="B25" s="68"/>
      <c r="C25" s="72"/>
      <c r="D25" s="72"/>
      <c r="E25" s="72"/>
      <c r="F25" s="72"/>
      <c r="G25" s="72"/>
      <c r="H25" s="72"/>
      <c r="I25" s="72"/>
      <c r="J25" s="72"/>
      <c r="K25" s="72"/>
      <c r="L25" s="66"/>
      <c r="M25" s="66"/>
      <c r="N25" s="66"/>
      <c r="O25" s="66"/>
      <c r="P25" s="66"/>
      <c r="Q25" s="66"/>
    </row>
    <row r="26" spans="1:17" x14ac:dyDescent="0.25">
      <c r="A26" s="72"/>
      <c r="B26" s="68"/>
      <c r="C26" s="72"/>
      <c r="D26" s="72"/>
      <c r="E26" s="72"/>
      <c r="F26" s="72"/>
      <c r="G26" s="72"/>
      <c r="H26" s="72"/>
      <c r="I26" s="72"/>
      <c r="J26" s="72"/>
      <c r="K26" s="72"/>
      <c r="L26" s="74"/>
      <c r="M26" s="74"/>
      <c r="N26" s="74"/>
      <c r="O26" s="66"/>
      <c r="P26" s="66"/>
      <c r="Q26" s="66"/>
    </row>
    <row r="27" spans="1:17" x14ac:dyDescent="0.25">
      <c r="A27" s="72"/>
      <c r="B27" s="68"/>
      <c r="C27" s="68"/>
      <c r="D27" s="68"/>
      <c r="E27" s="68"/>
      <c r="F27" s="72"/>
      <c r="G27" s="72"/>
      <c r="H27" s="72"/>
      <c r="I27" s="72"/>
      <c r="J27" s="72"/>
      <c r="K27" s="72"/>
      <c r="L27" s="74"/>
      <c r="M27" s="74"/>
      <c r="N27" s="74"/>
      <c r="O27" s="66"/>
      <c r="P27" s="66"/>
      <c r="Q27" s="66"/>
    </row>
    <row r="28" spans="1:17" x14ac:dyDescent="0.2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4"/>
      <c r="M28" s="74"/>
      <c r="N28" s="74"/>
      <c r="O28" s="66"/>
      <c r="P28" s="66"/>
      <c r="Q28" s="66"/>
    </row>
    <row r="29" spans="1:17" x14ac:dyDescent="0.25">
      <c r="A29" s="80"/>
      <c r="B29" s="76"/>
      <c r="C29" s="77"/>
      <c r="D29" s="77"/>
      <c r="E29" s="77"/>
      <c r="F29" s="77"/>
      <c r="G29" s="77"/>
      <c r="H29" s="77"/>
      <c r="I29" s="77"/>
      <c r="J29" s="66"/>
      <c r="K29" s="66"/>
      <c r="L29" s="66"/>
      <c r="M29" s="66"/>
      <c r="N29" s="66"/>
      <c r="O29" s="66"/>
      <c r="P29" s="66"/>
      <c r="Q29" s="66"/>
    </row>
    <row r="30" spans="1:17" x14ac:dyDescent="0.25">
      <c r="B30" s="78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7" x14ac:dyDescent="0.25">
      <c r="B31" s="66"/>
      <c r="C31" s="66"/>
      <c r="D31" s="66"/>
      <c r="E31" s="66"/>
      <c r="F31" s="75"/>
      <c r="G31" s="77"/>
      <c r="H31" s="77"/>
      <c r="I31" s="77"/>
      <c r="J31" s="77"/>
      <c r="K31" s="77"/>
      <c r="L31" s="77"/>
      <c r="M31" s="77"/>
      <c r="N31" s="66"/>
      <c r="O31" s="66"/>
      <c r="P31" s="66"/>
      <c r="Q31" s="66"/>
    </row>
    <row r="32" spans="1:17" x14ac:dyDescent="0.25">
      <c r="A32" s="79"/>
      <c r="B32" s="79"/>
      <c r="C32" s="66"/>
      <c r="D32" s="69"/>
      <c r="E32" s="69"/>
      <c r="F32" s="75"/>
      <c r="G32" s="80"/>
      <c r="H32" s="80"/>
      <c r="I32" s="77"/>
      <c r="J32" s="77"/>
      <c r="K32" s="77"/>
      <c r="L32" s="77"/>
      <c r="M32" s="77"/>
      <c r="N32" s="66"/>
      <c r="O32" s="66"/>
      <c r="P32" s="66"/>
      <c r="Q32" s="66"/>
    </row>
    <row r="33" spans="1:17" x14ac:dyDescent="0.25">
      <c r="B33" s="66"/>
      <c r="C33" s="69"/>
      <c r="D33" s="69"/>
      <c r="E33" s="69"/>
      <c r="F33" s="75"/>
      <c r="G33" s="80"/>
      <c r="H33" s="80"/>
      <c r="I33" s="77"/>
      <c r="J33" s="77"/>
      <c r="K33" s="77"/>
      <c r="L33" s="77"/>
      <c r="M33" s="77"/>
      <c r="N33" s="66"/>
      <c r="O33" s="66"/>
      <c r="P33" s="66"/>
      <c r="Q33" s="66"/>
    </row>
    <row r="34" spans="1:17" x14ac:dyDescent="0.25">
      <c r="B34" s="66"/>
      <c r="C34" s="69"/>
      <c r="D34" s="81"/>
      <c r="E34" s="81"/>
      <c r="F34" s="75"/>
      <c r="G34" s="80"/>
      <c r="H34" s="80"/>
      <c r="I34" s="77"/>
      <c r="J34" s="77"/>
      <c r="K34" s="77"/>
      <c r="L34" s="77"/>
      <c r="M34" s="77"/>
      <c r="N34" s="66"/>
      <c r="O34" s="66"/>
      <c r="P34" s="66"/>
      <c r="Q34" s="66"/>
    </row>
    <row r="35" spans="1:17" x14ac:dyDescent="0.25">
      <c r="B35" s="66"/>
      <c r="C35" s="66"/>
      <c r="D35" s="80"/>
      <c r="E35" s="80"/>
      <c r="F35" s="75"/>
      <c r="G35" s="77"/>
      <c r="H35" s="77"/>
      <c r="I35" s="77"/>
      <c r="J35" s="77"/>
      <c r="K35" s="77"/>
      <c r="L35" s="77"/>
      <c r="M35" s="77"/>
      <c r="N35" s="66"/>
      <c r="O35" s="66"/>
      <c r="P35" s="66"/>
      <c r="Q35" s="66"/>
    </row>
    <row r="36" spans="1:17" x14ac:dyDescent="0.25">
      <c r="B36" s="66"/>
      <c r="C36" s="66"/>
      <c r="D36" s="73"/>
      <c r="E36" s="73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</row>
    <row r="37" spans="1:17" x14ac:dyDescent="0.25">
      <c r="B37" s="66"/>
      <c r="C37" s="66"/>
      <c r="D37" s="73"/>
      <c r="E37" s="73"/>
      <c r="F37" s="82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</row>
    <row r="38" spans="1:17" x14ac:dyDescent="0.25">
      <c r="A38" s="247"/>
      <c r="B38" s="247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</row>
    <row r="39" spans="1:17" x14ac:dyDescent="0.25">
      <c r="B39" s="66"/>
      <c r="C39" s="69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</row>
    <row r="40" spans="1:17" x14ac:dyDescent="0.25">
      <c r="B40" s="66"/>
      <c r="C40" s="69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</row>
    <row r="41" spans="1:17" x14ac:dyDescent="0.25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</row>
    <row r="42" spans="1:17" x14ac:dyDescent="0.25"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</row>
    <row r="43" spans="1:17" x14ac:dyDescent="0.25"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</row>
    <row r="44" spans="1:17" x14ac:dyDescent="0.25">
      <c r="B44" s="66"/>
      <c r="C44" s="69"/>
    </row>
    <row r="45" spans="1:17" x14ac:dyDescent="0.25">
      <c r="B45" s="66"/>
      <c r="C45" s="66"/>
    </row>
  </sheetData>
  <autoFilter ref="A1:O1" xr:uid="{00000000-0009-0000-0000-000002000000}">
    <sortState xmlns:xlrd2="http://schemas.microsoft.com/office/spreadsheetml/2017/richdata2" ref="A2:O18">
      <sortCondition ref="C1"/>
    </sortState>
  </autoFilter>
  <mergeCells count="1">
    <mergeCell ref="A38:B38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4"/>
  <sheetViews>
    <sheetView workbookViewId="0">
      <pane ySplit="9" topLeftCell="A10" activePane="bottomLeft" state="frozen"/>
      <selection pane="bottomLeft" activeCell="L29" sqref="L29"/>
    </sheetView>
  </sheetViews>
  <sheetFormatPr defaultRowHeight="15" x14ac:dyDescent="0.25"/>
  <cols>
    <col min="1" max="1" width="15.5703125" customWidth="1"/>
    <col min="2" max="2" width="11.5703125" customWidth="1"/>
    <col min="3" max="3" width="12.5703125" customWidth="1"/>
    <col min="4" max="4" width="13.28515625" customWidth="1"/>
    <col min="5" max="5" width="17.28515625" customWidth="1"/>
    <col min="6" max="6" width="20.140625" customWidth="1"/>
    <col min="8" max="8" width="11.85546875" customWidth="1"/>
    <col min="9" max="9" width="10.42578125" customWidth="1"/>
    <col min="10" max="10" width="11.140625" customWidth="1"/>
    <col min="11" max="11" width="12" customWidth="1"/>
    <col min="12" max="12" width="11.140625" bestFit="1" customWidth="1"/>
    <col min="13" max="13" width="10.5703125" customWidth="1"/>
    <col min="14" max="14" width="11.5703125" customWidth="1"/>
  </cols>
  <sheetData>
    <row r="1" spans="1:15" ht="75" x14ac:dyDescent="0.25">
      <c r="A1" s="48" t="s">
        <v>0</v>
      </c>
      <c r="B1" s="49" t="s">
        <v>1</v>
      </c>
      <c r="C1" s="48" t="s">
        <v>2</v>
      </c>
      <c r="D1" s="49" t="s">
        <v>44</v>
      </c>
      <c r="E1" s="49" t="s">
        <v>5</v>
      </c>
      <c r="F1" s="50" t="s">
        <v>45</v>
      </c>
      <c r="G1" s="51" t="s">
        <v>46</v>
      </c>
      <c r="H1" s="51" t="s">
        <v>182</v>
      </c>
      <c r="I1" s="51" t="s">
        <v>183</v>
      </c>
      <c r="J1" s="51" t="s">
        <v>173</v>
      </c>
      <c r="K1" s="51" t="s">
        <v>184</v>
      </c>
      <c r="L1" s="51" t="s">
        <v>185</v>
      </c>
      <c r="M1" s="51" t="s">
        <v>186</v>
      </c>
      <c r="N1" s="49" t="s">
        <v>53</v>
      </c>
      <c r="O1" s="48" t="s">
        <v>12</v>
      </c>
    </row>
    <row r="2" spans="1:15" x14ac:dyDescent="0.25">
      <c r="A2" s="6" t="s">
        <v>58</v>
      </c>
      <c r="B2" s="6">
        <v>349.56</v>
      </c>
      <c r="C2" s="223">
        <v>81030</v>
      </c>
      <c r="D2" s="9">
        <v>24</v>
      </c>
      <c r="E2" s="9"/>
      <c r="F2" s="1"/>
      <c r="G2" s="1" t="s">
        <v>54</v>
      </c>
      <c r="H2" s="10">
        <v>0.05</v>
      </c>
      <c r="I2" s="10">
        <v>76373</v>
      </c>
      <c r="J2" s="14">
        <v>216149</v>
      </c>
      <c r="K2" s="242">
        <v>9.5000000000000001E-2</v>
      </c>
      <c r="L2" s="10">
        <v>84010</v>
      </c>
      <c r="M2" s="14">
        <f>L2+C32</f>
        <v>232942</v>
      </c>
      <c r="N2" s="16" t="s">
        <v>17</v>
      </c>
      <c r="O2" s="16" t="s">
        <v>54</v>
      </c>
    </row>
    <row r="3" spans="1:15" x14ac:dyDescent="0.25">
      <c r="A3" s="6" t="s">
        <v>19</v>
      </c>
      <c r="B3" s="9">
        <v>445</v>
      </c>
      <c r="C3" s="223">
        <v>88799</v>
      </c>
      <c r="D3" s="9">
        <v>21.75</v>
      </c>
      <c r="E3" s="9"/>
      <c r="F3" s="6"/>
      <c r="G3" s="1" t="s">
        <v>54</v>
      </c>
      <c r="H3" s="227">
        <v>0.06</v>
      </c>
      <c r="I3" s="69">
        <v>19200</v>
      </c>
      <c r="J3" s="10">
        <v>158976</v>
      </c>
      <c r="K3" s="237">
        <v>6.25E-2</v>
      </c>
      <c r="L3" s="14">
        <v>20400</v>
      </c>
      <c r="M3" s="10">
        <f>L3+C32</f>
        <v>169332</v>
      </c>
      <c r="N3" s="16" t="s">
        <v>17</v>
      </c>
      <c r="O3" s="16" t="s">
        <v>54</v>
      </c>
    </row>
    <row r="4" spans="1:15" x14ac:dyDescent="0.25">
      <c r="A4" s="6" t="s">
        <v>23</v>
      </c>
      <c r="B4" s="9">
        <v>438.87</v>
      </c>
      <c r="C4" s="223">
        <v>87416</v>
      </c>
      <c r="D4" s="9">
        <v>25.6</v>
      </c>
      <c r="E4" s="6" t="s">
        <v>29</v>
      </c>
      <c r="F4" s="6" t="s">
        <v>55</v>
      </c>
      <c r="G4" s="1" t="s">
        <v>54</v>
      </c>
      <c r="H4" s="171">
        <v>0.04</v>
      </c>
      <c r="I4" s="10">
        <v>29962.07</v>
      </c>
      <c r="J4" s="10">
        <v>169738.07</v>
      </c>
      <c r="K4" s="171">
        <v>2.4E-2</v>
      </c>
      <c r="L4" s="10">
        <v>30681.16</v>
      </c>
      <c r="M4" s="10">
        <f>L4+C32</f>
        <v>179613.16</v>
      </c>
      <c r="N4" s="224">
        <v>0.12</v>
      </c>
      <c r="O4" s="16" t="s">
        <v>54</v>
      </c>
    </row>
    <row r="5" spans="1:15" x14ac:dyDescent="0.25">
      <c r="A5" s="6" t="s">
        <v>20</v>
      </c>
      <c r="B5" s="9">
        <v>699.74</v>
      </c>
      <c r="C5" s="223">
        <v>109682</v>
      </c>
      <c r="D5" s="9">
        <v>30</v>
      </c>
      <c r="E5" s="9"/>
      <c r="F5" s="6" t="s">
        <v>55</v>
      </c>
      <c r="G5" s="228" t="s">
        <v>54</v>
      </c>
      <c r="H5" s="171">
        <v>0</v>
      </c>
      <c r="I5" s="95">
        <v>30000</v>
      </c>
      <c r="J5" s="10">
        <v>194520</v>
      </c>
      <c r="K5" s="171">
        <v>0</v>
      </c>
      <c r="L5" s="95">
        <v>30000</v>
      </c>
      <c r="M5" s="10">
        <f>L5+C33</f>
        <v>205296</v>
      </c>
      <c r="N5" s="16">
        <v>0.1</v>
      </c>
      <c r="O5" s="16" t="s">
        <v>54</v>
      </c>
    </row>
    <row r="6" spans="1:15" x14ac:dyDescent="0.25">
      <c r="A6" s="6" t="s">
        <v>36</v>
      </c>
      <c r="B6" s="9">
        <v>528.35</v>
      </c>
      <c r="C6" s="223">
        <v>111129</v>
      </c>
      <c r="D6" s="9">
        <v>24</v>
      </c>
      <c r="E6" s="9"/>
      <c r="F6" s="6"/>
      <c r="G6" s="1" t="s">
        <v>54</v>
      </c>
      <c r="H6" s="229">
        <v>0.14000000000000001</v>
      </c>
      <c r="I6" s="10">
        <v>50440</v>
      </c>
      <c r="J6" s="10">
        <v>214960</v>
      </c>
      <c r="K6" s="171">
        <v>6.5000000000000002E-2</v>
      </c>
      <c r="L6" s="10">
        <v>53747.199999999997</v>
      </c>
      <c r="M6" s="10">
        <f>L6+C33</f>
        <v>229043.20000000001</v>
      </c>
      <c r="N6" s="16" t="s">
        <v>17</v>
      </c>
      <c r="O6" s="16" t="s">
        <v>54</v>
      </c>
    </row>
    <row r="7" spans="1:15" x14ac:dyDescent="0.25">
      <c r="A7" s="6" t="s">
        <v>33</v>
      </c>
      <c r="B7" s="6">
        <v>745</v>
      </c>
      <c r="C7" s="223">
        <v>130848</v>
      </c>
      <c r="D7" s="6">
        <v>27</v>
      </c>
      <c r="E7" s="10" t="s">
        <v>29</v>
      </c>
      <c r="F7" s="6"/>
      <c r="G7" s="1" t="s">
        <v>54</v>
      </c>
      <c r="H7" s="229">
        <v>0.04</v>
      </c>
      <c r="I7" s="10">
        <v>23532</v>
      </c>
      <c r="J7" s="10">
        <v>188052</v>
      </c>
      <c r="K7" s="229">
        <v>3.6400000000000002E-2</v>
      </c>
      <c r="L7" s="10">
        <v>24387</v>
      </c>
      <c r="M7" s="10">
        <f>L7+C33</f>
        <v>199683</v>
      </c>
      <c r="N7" s="16" t="s">
        <v>17</v>
      </c>
      <c r="O7" s="16" t="s">
        <v>54</v>
      </c>
    </row>
    <row r="9" spans="1:15" x14ac:dyDescent="0.25">
      <c r="B9" s="72"/>
      <c r="C9" s="235"/>
      <c r="L9" s="172"/>
    </row>
    <row r="11" spans="1:15" x14ac:dyDescent="0.25">
      <c r="J11" s="96" t="s">
        <v>77</v>
      </c>
      <c r="L11" s="47">
        <v>193997.65</v>
      </c>
      <c r="M11" s="111"/>
    </row>
    <row r="12" spans="1:15" ht="15.75" thickBot="1" x14ac:dyDescent="0.3">
      <c r="A12" s="105" t="s">
        <v>168</v>
      </c>
      <c r="D12" s="98">
        <f>AVERAGE(L2,L3,L4,L5,L6,L7)</f>
        <v>40537.56</v>
      </c>
      <c r="E12" s="106"/>
    </row>
    <row r="13" spans="1:15" ht="15.75" thickBot="1" x14ac:dyDescent="0.3">
      <c r="A13" s="105" t="s">
        <v>169</v>
      </c>
      <c r="B13" s="96"/>
      <c r="D13" s="98">
        <f>AVERAGE(M2,M3,M4,M5,M6,M7)</f>
        <v>202651.56000000003</v>
      </c>
      <c r="E13" s="106"/>
      <c r="L13" s="178" t="s">
        <v>80</v>
      </c>
      <c r="M13" s="179"/>
      <c r="N13" s="180" t="s">
        <v>81</v>
      </c>
    </row>
    <row r="14" spans="1:15" ht="15.75" thickBot="1" x14ac:dyDescent="0.3">
      <c r="A14" s="181" t="s">
        <v>162</v>
      </c>
      <c r="B14" s="182"/>
      <c r="C14" s="182"/>
      <c r="D14" s="47">
        <f>AVERAGE(L5,L6,L7)</f>
        <v>36044.73333333333</v>
      </c>
      <c r="E14" s="68"/>
      <c r="J14" s="113" t="s">
        <v>78</v>
      </c>
      <c r="K14" s="113" t="s">
        <v>79</v>
      </c>
      <c r="L14" s="194">
        <v>138569.81</v>
      </c>
      <c r="M14" s="195"/>
      <c r="N14" s="196">
        <v>193997.65</v>
      </c>
    </row>
    <row r="15" spans="1:15" x14ac:dyDescent="0.25">
      <c r="A15" s="181" t="s">
        <v>163</v>
      </c>
      <c r="B15" s="182"/>
      <c r="C15" s="182"/>
      <c r="D15" s="47">
        <f>AVERAGE(M5,M6,M7)</f>
        <v>211340.73333333331</v>
      </c>
      <c r="E15" s="68"/>
      <c r="J15" s="114"/>
      <c r="K15" s="113"/>
      <c r="L15" s="147"/>
      <c r="M15" s="147"/>
      <c r="N15" s="147"/>
    </row>
    <row r="16" spans="1:15" x14ac:dyDescent="0.25">
      <c r="A16" s="183" t="s">
        <v>75</v>
      </c>
      <c r="B16" s="184"/>
      <c r="C16" s="184"/>
      <c r="D16" s="47">
        <f>AVERAGE(L2,L3,L4)</f>
        <v>45030.386666666665</v>
      </c>
      <c r="E16" s="106"/>
      <c r="G16" s="173"/>
      <c r="H16" s="173"/>
      <c r="J16" s="114"/>
      <c r="K16" s="113"/>
      <c r="L16" s="193"/>
      <c r="M16" s="193"/>
      <c r="N16" s="193"/>
    </row>
    <row r="17" spans="1:15" x14ac:dyDescent="0.25">
      <c r="A17" s="183" t="s">
        <v>76</v>
      </c>
      <c r="B17" s="184"/>
      <c r="C17" s="184"/>
      <c r="D17" s="47">
        <f>AVERAGE(M2,M3,M4)</f>
        <v>193962.38666666669</v>
      </c>
      <c r="E17" s="106"/>
      <c r="G17" s="173"/>
      <c r="H17" s="173"/>
    </row>
    <row r="18" spans="1:15" x14ac:dyDescent="0.25">
      <c r="G18" s="173"/>
      <c r="H18" s="173"/>
    </row>
    <row r="19" spans="1:15" x14ac:dyDescent="0.25">
      <c r="G19" s="173"/>
      <c r="H19" s="173"/>
    </row>
    <row r="22" spans="1:15" x14ac:dyDescent="0.25">
      <c r="A22" s="7" t="s">
        <v>40</v>
      </c>
      <c r="B22" s="1">
        <v>613.75</v>
      </c>
      <c r="C22" s="223">
        <v>98573</v>
      </c>
      <c r="D22" s="9">
        <v>29</v>
      </c>
      <c r="E22" s="6"/>
      <c r="F22" s="6"/>
      <c r="G22" s="6" t="s">
        <v>54</v>
      </c>
      <c r="H22" s="171">
        <v>4.7E-2</v>
      </c>
      <c r="I22" s="10">
        <v>56162</v>
      </c>
      <c r="J22" s="10">
        <f>I22+C26</f>
        <v>195938</v>
      </c>
      <c r="K22" s="171"/>
      <c r="L22" s="10"/>
      <c r="M22" s="10">
        <f>I22+C32</f>
        <v>205094</v>
      </c>
      <c r="N22" s="16" t="s">
        <v>17</v>
      </c>
      <c r="O22" s="16" t="s">
        <v>54</v>
      </c>
    </row>
    <row r="25" spans="1:15" x14ac:dyDescent="0.25">
      <c r="A25" s="248" t="s">
        <v>175</v>
      </c>
      <c r="B25" s="248"/>
      <c r="C25" s="106"/>
    </row>
    <row r="26" spans="1:15" x14ac:dyDescent="0.25">
      <c r="A26" s="191" t="s">
        <v>72</v>
      </c>
      <c r="B26" s="191" t="s">
        <v>73</v>
      </c>
      <c r="C26" s="238">
        <v>139776</v>
      </c>
    </row>
    <row r="27" spans="1:15" x14ac:dyDescent="0.25">
      <c r="A27" s="192"/>
      <c r="B27" s="191" t="s">
        <v>74</v>
      </c>
      <c r="C27" s="238">
        <v>164520</v>
      </c>
    </row>
    <row r="28" spans="1:15" x14ac:dyDescent="0.25">
      <c r="A28" s="191"/>
      <c r="B28" s="191"/>
      <c r="C28" s="106"/>
      <c r="E28" s="47"/>
    </row>
    <row r="29" spans="1:15" x14ac:dyDescent="0.25">
      <c r="A29" s="191"/>
      <c r="B29" s="191"/>
      <c r="C29" s="106"/>
    </row>
    <row r="30" spans="1:15" x14ac:dyDescent="0.25">
      <c r="A30" s="191"/>
      <c r="B30" s="191"/>
      <c r="C30" s="106"/>
    </row>
    <row r="31" spans="1:15" x14ac:dyDescent="0.25">
      <c r="A31" s="248" t="s">
        <v>190</v>
      </c>
      <c r="B31" s="248"/>
      <c r="C31" s="106"/>
    </row>
    <row r="32" spans="1:15" x14ac:dyDescent="0.25">
      <c r="A32" s="191" t="s">
        <v>72</v>
      </c>
      <c r="B32" s="191" t="s">
        <v>73</v>
      </c>
      <c r="C32" s="238">
        <v>148932</v>
      </c>
    </row>
    <row r="33" spans="1:3" x14ac:dyDescent="0.25">
      <c r="A33" s="192"/>
      <c r="B33" s="191" t="s">
        <v>74</v>
      </c>
      <c r="C33" s="238">
        <v>175296</v>
      </c>
    </row>
    <row r="34" spans="1:3" x14ac:dyDescent="0.25">
      <c r="A34" s="106"/>
      <c r="B34" s="106"/>
      <c r="C34" s="106"/>
    </row>
  </sheetData>
  <autoFilter ref="A1:O1" xr:uid="{00000000-0009-0000-0000-000003000000}">
    <sortState xmlns:xlrd2="http://schemas.microsoft.com/office/spreadsheetml/2017/richdata2" ref="A2:O11">
      <sortCondition ref="B1"/>
    </sortState>
  </autoFilter>
  <mergeCells count="2">
    <mergeCell ref="A31:B31"/>
    <mergeCell ref="A25:B25"/>
  </mergeCells>
  <pageMargins left="0.25" right="0.25" top="0.75" bottom="0.75" header="0.3" footer="0.3"/>
  <pageSetup paperSize="1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"/>
  <sheetViews>
    <sheetView workbookViewId="0">
      <selection activeCell="D25" sqref="D25"/>
    </sheetView>
  </sheetViews>
  <sheetFormatPr defaultRowHeight="15" x14ac:dyDescent="0.25"/>
  <cols>
    <col min="5" max="5" width="15.28515625" customWidth="1"/>
    <col min="6" max="6" width="24.85546875" customWidth="1"/>
  </cols>
  <sheetData>
    <row r="1" spans="1:14" ht="75" x14ac:dyDescent="0.25">
      <c r="A1" s="91" t="s">
        <v>0</v>
      </c>
      <c r="B1" s="91" t="s">
        <v>61</v>
      </c>
      <c r="C1" s="91" t="s">
        <v>1</v>
      </c>
      <c r="D1" s="91" t="s">
        <v>44</v>
      </c>
      <c r="E1" s="91" t="s">
        <v>5</v>
      </c>
      <c r="F1" s="92" t="s">
        <v>45</v>
      </c>
      <c r="G1" s="91" t="s">
        <v>62</v>
      </c>
      <c r="H1" s="91" t="s">
        <v>63</v>
      </c>
      <c r="I1" s="91" t="s">
        <v>64</v>
      </c>
      <c r="J1" s="91" t="s">
        <v>8</v>
      </c>
      <c r="K1" s="91" t="s">
        <v>53</v>
      </c>
      <c r="L1" s="91" t="s">
        <v>11</v>
      </c>
      <c r="M1" s="91" t="s">
        <v>12</v>
      </c>
      <c r="N1" s="93" t="s">
        <v>13</v>
      </c>
    </row>
    <row r="2" spans="1:14" x14ac:dyDescent="0.25">
      <c r="A2" s="1" t="s">
        <v>37</v>
      </c>
      <c r="B2" s="8">
        <v>52750</v>
      </c>
      <c r="C2" s="89">
        <v>200</v>
      </c>
      <c r="D2" s="89">
        <v>60</v>
      </c>
      <c r="E2" s="89"/>
      <c r="F2" s="1"/>
      <c r="G2" s="90">
        <v>2.4E-2</v>
      </c>
      <c r="H2" s="14">
        <v>104748</v>
      </c>
      <c r="I2" s="90">
        <v>0</v>
      </c>
      <c r="J2" s="56">
        <v>104748</v>
      </c>
      <c r="K2" s="1" t="s">
        <v>17</v>
      </c>
      <c r="L2" s="1" t="s">
        <v>18</v>
      </c>
      <c r="M2" s="13">
        <v>0.06</v>
      </c>
      <c r="N2" s="18">
        <f>J2*1.06</f>
        <v>111032.88</v>
      </c>
    </row>
    <row r="3" spans="1:14" x14ac:dyDescent="0.25">
      <c r="A3" s="6" t="s">
        <v>14</v>
      </c>
      <c r="B3" s="8">
        <v>63290</v>
      </c>
      <c r="C3" s="9">
        <v>329</v>
      </c>
      <c r="D3" s="9">
        <v>93</v>
      </c>
      <c r="E3" s="9"/>
      <c r="F3" s="6" t="s">
        <v>65</v>
      </c>
      <c r="G3" s="90">
        <v>0.01</v>
      </c>
      <c r="H3" s="10">
        <v>94896</v>
      </c>
      <c r="I3" s="90">
        <v>6.59E-2</v>
      </c>
      <c r="J3" s="10">
        <v>101148</v>
      </c>
      <c r="K3" s="16" t="s">
        <v>17</v>
      </c>
      <c r="L3" s="10" t="s">
        <v>18</v>
      </c>
      <c r="M3" s="16">
        <v>0.06</v>
      </c>
      <c r="N3" s="12">
        <f>J3*1.06</f>
        <v>107216.88</v>
      </c>
    </row>
    <row r="4" spans="1:14" x14ac:dyDescent="0.25">
      <c r="A4" s="6" t="s">
        <v>58</v>
      </c>
      <c r="B4" s="8">
        <v>81160</v>
      </c>
      <c r="C4" s="9">
        <v>335</v>
      </c>
      <c r="D4" s="9">
        <v>110</v>
      </c>
      <c r="E4" s="9"/>
      <c r="F4" s="6"/>
      <c r="G4" s="90" t="s">
        <v>59</v>
      </c>
      <c r="H4" s="10">
        <v>117300</v>
      </c>
      <c r="I4" s="90">
        <v>0</v>
      </c>
      <c r="J4" s="10">
        <v>117300</v>
      </c>
      <c r="K4" s="16" t="s">
        <v>17</v>
      </c>
      <c r="L4" s="10" t="s">
        <v>18</v>
      </c>
      <c r="M4" s="16">
        <v>0.06</v>
      </c>
      <c r="N4" s="12">
        <f>J4*1.06</f>
        <v>124338</v>
      </c>
    </row>
    <row r="5" spans="1:14" x14ac:dyDescent="0.25">
      <c r="A5" s="31" t="s">
        <v>19</v>
      </c>
      <c r="B5" s="33">
        <v>82940</v>
      </c>
      <c r="C5" s="34">
        <v>400</v>
      </c>
      <c r="D5" s="34">
        <v>70</v>
      </c>
      <c r="E5" s="31"/>
      <c r="F5" s="31"/>
      <c r="G5" s="94">
        <v>5.6300000000000003E-2</v>
      </c>
      <c r="H5" s="35">
        <v>103800</v>
      </c>
      <c r="I5" s="36">
        <v>4.0500000000000001E-2</v>
      </c>
      <c r="J5" s="35">
        <v>108000</v>
      </c>
      <c r="K5" s="41" t="s">
        <v>17</v>
      </c>
      <c r="L5" s="35" t="s">
        <v>18</v>
      </c>
      <c r="M5" s="41">
        <v>0.06</v>
      </c>
      <c r="N5" s="35">
        <f>J5*1.06</f>
        <v>114480</v>
      </c>
    </row>
    <row r="6" spans="1:14" x14ac:dyDescent="0.25">
      <c r="A6" s="31" t="s">
        <v>23</v>
      </c>
      <c r="B6" s="33">
        <v>86750</v>
      </c>
      <c r="C6" s="34">
        <v>450</v>
      </c>
      <c r="D6" s="34">
        <v>101</v>
      </c>
      <c r="E6" s="34" t="s">
        <v>29</v>
      </c>
      <c r="F6" s="31" t="s">
        <v>67</v>
      </c>
      <c r="G6" s="94">
        <v>2.5000000000000001E-2</v>
      </c>
      <c r="H6" s="35">
        <v>101832</v>
      </c>
      <c r="I6" s="94">
        <v>0</v>
      </c>
      <c r="J6" s="35">
        <v>101832</v>
      </c>
      <c r="K6" s="42">
        <v>0.06</v>
      </c>
      <c r="L6" s="35">
        <f>J6*1.06</f>
        <v>107941.92</v>
      </c>
      <c r="M6" s="41">
        <v>0.06</v>
      </c>
      <c r="N6" s="35">
        <f>L6*1.06</f>
        <v>114418.43520000001</v>
      </c>
    </row>
    <row r="7" spans="1:14" x14ac:dyDescent="0.25">
      <c r="A7" s="31"/>
      <c r="B7" s="33">
        <v>86750</v>
      </c>
      <c r="C7" s="34">
        <v>450</v>
      </c>
      <c r="D7" s="34"/>
      <c r="E7" s="34" t="s">
        <v>31</v>
      </c>
      <c r="F7" s="31" t="s">
        <v>67</v>
      </c>
      <c r="G7" s="94">
        <v>2.5000000000000001E-2</v>
      </c>
      <c r="H7" s="35">
        <v>105905</v>
      </c>
      <c r="I7" s="94">
        <v>0</v>
      </c>
      <c r="J7" s="35">
        <v>105905</v>
      </c>
      <c r="K7" s="42">
        <v>0.06</v>
      </c>
      <c r="L7" s="35">
        <f>J7*1.06</f>
        <v>112259.3</v>
      </c>
      <c r="M7" s="41">
        <v>0.06</v>
      </c>
      <c r="N7" s="35">
        <f>L7*1.06</f>
        <v>118994.85800000001</v>
      </c>
    </row>
    <row r="8" spans="1:14" x14ac:dyDescent="0.25">
      <c r="A8" s="31"/>
      <c r="B8" s="33">
        <v>86750</v>
      </c>
      <c r="C8" s="34">
        <v>450</v>
      </c>
      <c r="D8" s="34"/>
      <c r="E8" s="34" t="s">
        <v>41</v>
      </c>
      <c r="F8" s="31" t="s">
        <v>67</v>
      </c>
      <c r="G8" s="94">
        <v>2.5000000000000001E-2</v>
      </c>
      <c r="H8" s="35">
        <v>110142</v>
      </c>
      <c r="I8" s="94">
        <v>0</v>
      </c>
      <c r="J8" s="35">
        <v>110142</v>
      </c>
      <c r="K8" s="42">
        <v>0.06</v>
      </c>
      <c r="L8" s="35">
        <f>J8*1.06</f>
        <v>116750.52</v>
      </c>
      <c r="M8" s="41">
        <v>0.06</v>
      </c>
      <c r="N8" s="43">
        <f>L8*1.06</f>
        <v>123755.55120000002</v>
      </c>
    </row>
    <row r="9" spans="1:14" x14ac:dyDescent="0.25">
      <c r="A9" s="31" t="s">
        <v>28</v>
      </c>
      <c r="B9" s="33">
        <v>48260</v>
      </c>
      <c r="C9" s="34">
        <v>482</v>
      </c>
      <c r="D9" s="34">
        <v>92</v>
      </c>
      <c r="E9" s="34" t="s">
        <v>29</v>
      </c>
      <c r="F9" s="31"/>
      <c r="G9" s="94">
        <v>2.5000000000000001E-2</v>
      </c>
      <c r="H9" s="35">
        <v>103416</v>
      </c>
      <c r="I9" s="94">
        <v>0</v>
      </c>
      <c r="J9" s="35">
        <v>103416</v>
      </c>
      <c r="K9" s="41">
        <v>0.11</v>
      </c>
      <c r="L9" s="35">
        <f>J9*1.11</f>
        <v>114791.76000000001</v>
      </c>
      <c r="M9" s="41" t="s">
        <v>30</v>
      </c>
      <c r="N9" s="43" t="s">
        <v>18</v>
      </c>
    </row>
    <row r="10" spans="1:14" x14ac:dyDescent="0.25">
      <c r="A10" s="31"/>
      <c r="B10" s="33">
        <v>48260</v>
      </c>
      <c r="C10" s="34">
        <v>482</v>
      </c>
      <c r="D10" s="34"/>
      <c r="E10" s="34" t="s">
        <v>31</v>
      </c>
      <c r="F10" s="31"/>
      <c r="G10" s="94">
        <v>2.5000000000000001E-2</v>
      </c>
      <c r="H10" s="35">
        <v>106632</v>
      </c>
      <c r="I10" s="94">
        <v>0</v>
      </c>
      <c r="J10" s="35">
        <v>106632</v>
      </c>
      <c r="K10" s="41">
        <v>0.11</v>
      </c>
      <c r="L10" s="35">
        <f>J10*1.11</f>
        <v>118361.52</v>
      </c>
      <c r="M10" s="41" t="s">
        <v>30</v>
      </c>
      <c r="N10" s="43" t="s">
        <v>18</v>
      </c>
    </row>
    <row r="11" spans="1:14" x14ac:dyDescent="0.25">
      <c r="A11" s="31"/>
      <c r="B11" s="33">
        <v>48260</v>
      </c>
      <c r="C11" s="34">
        <v>482</v>
      </c>
      <c r="D11" s="34"/>
      <c r="E11" s="31" t="s">
        <v>41</v>
      </c>
      <c r="F11" s="31"/>
      <c r="G11" s="94">
        <v>2.5000000000000001E-2</v>
      </c>
      <c r="H11" s="35">
        <v>109920</v>
      </c>
      <c r="I11" s="94">
        <v>0</v>
      </c>
      <c r="J11" s="35">
        <v>109920</v>
      </c>
      <c r="K11" s="41">
        <v>0.11</v>
      </c>
      <c r="L11" s="35">
        <f>J11*1.11</f>
        <v>122011.20000000001</v>
      </c>
      <c r="M11" s="41" t="s">
        <v>30</v>
      </c>
      <c r="N11" s="43" t="s">
        <v>18</v>
      </c>
    </row>
    <row r="12" spans="1:14" x14ac:dyDescent="0.25">
      <c r="A12" s="31" t="s">
        <v>40</v>
      </c>
      <c r="B12" s="33">
        <v>94360</v>
      </c>
      <c r="C12" s="34">
        <v>493</v>
      </c>
      <c r="D12" s="34">
        <v>97</v>
      </c>
      <c r="E12" s="31"/>
      <c r="F12" s="31"/>
      <c r="G12" s="94">
        <v>0.02</v>
      </c>
      <c r="H12" s="30">
        <v>122087</v>
      </c>
      <c r="I12" s="94"/>
      <c r="J12" s="35"/>
      <c r="K12" s="41">
        <v>0.03</v>
      </c>
      <c r="L12" s="35"/>
      <c r="M12" s="41">
        <v>0.06</v>
      </c>
      <c r="N12" s="43">
        <f>L12*1.06</f>
        <v>0</v>
      </c>
    </row>
    <row r="13" spans="1:14" x14ac:dyDescent="0.25">
      <c r="A13" s="31" t="s">
        <v>36</v>
      </c>
      <c r="B13" s="33">
        <v>112250</v>
      </c>
      <c r="C13" s="34">
        <v>524</v>
      </c>
      <c r="D13" s="34">
        <v>148</v>
      </c>
      <c r="E13" s="31"/>
      <c r="F13" s="31"/>
      <c r="G13" s="94">
        <v>0.02</v>
      </c>
      <c r="H13" s="35">
        <v>114400</v>
      </c>
      <c r="I13" s="94">
        <v>0.1</v>
      </c>
      <c r="J13" s="35">
        <v>125840</v>
      </c>
      <c r="K13" s="41" t="s">
        <v>17</v>
      </c>
      <c r="L13" s="35" t="s">
        <v>18</v>
      </c>
      <c r="M13" s="41">
        <v>0.06</v>
      </c>
      <c r="N13" s="43">
        <f>J13*1.06</f>
        <v>133390.39999999999</v>
      </c>
    </row>
    <row r="14" spans="1:14" x14ac:dyDescent="0.25">
      <c r="A14" s="31" t="s">
        <v>20</v>
      </c>
      <c r="B14" s="33">
        <v>108060</v>
      </c>
      <c r="C14" s="34">
        <v>610</v>
      </c>
      <c r="D14" s="34">
        <v>94</v>
      </c>
      <c r="E14" s="34" t="s">
        <v>66</v>
      </c>
      <c r="F14" s="31" t="s">
        <v>55</v>
      </c>
      <c r="G14" s="94">
        <v>8.5000000000000006E-2</v>
      </c>
      <c r="H14" s="35">
        <v>114557</v>
      </c>
      <c r="I14" s="94">
        <v>8.5000000000000006E-2</v>
      </c>
      <c r="J14" s="35">
        <v>124294</v>
      </c>
      <c r="K14" s="41">
        <v>0.1</v>
      </c>
      <c r="L14" s="35">
        <f>J14*1.1</f>
        <v>136723.40000000002</v>
      </c>
      <c r="M14" s="41">
        <v>0.06</v>
      </c>
      <c r="N14" s="43">
        <f>J14*1.06</f>
        <v>131751.64000000001</v>
      </c>
    </row>
    <row r="15" spans="1:14" x14ac:dyDescent="0.25">
      <c r="A15" s="31" t="s">
        <v>38</v>
      </c>
      <c r="B15" s="33">
        <v>68190</v>
      </c>
      <c r="C15" s="34">
        <v>479</v>
      </c>
      <c r="D15" s="34">
        <v>97</v>
      </c>
      <c r="E15" s="34"/>
      <c r="F15" s="31" t="s">
        <v>68</v>
      </c>
      <c r="G15" s="94">
        <v>0.02</v>
      </c>
      <c r="H15" s="35">
        <v>104711</v>
      </c>
      <c r="I15" s="94"/>
      <c r="J15" s="35">
        <v>104711</v>
      </c>
      <c r="K15" s="41" t="s">
        <v>17</v>
      </c>
      <c r="L15" s="35" t="s">
        <v>18</v>
      </c>
      <c r="M15" s="41">
        <v>0</v>
      </c>
      <c r="N15" s="43" t="s">
        <v>18</v>
      </c>
    </row>
    <row r="16" spans="1:14" x14ac:dyDescent="0.25">
      <c r="A16" s="7" t="s">
        <v>33</v>
      </c>
      <c r="B16" s="83">
        <v>126550</v>
      </c>
      <c r="C16" s="6">
        <v>668</v>
      </c>
      <c r="D16" s="6">
        <v>189</v>
      </c>
      <c r="E16" s="10" t="s">
        <v>29</v>
      </c>
      <c r="F16" s="6"/>
      <c r="G16" s="90">
        <v>2.5000000000000001E-2</v>
      </c>
      <c r="H16" s="10">
        <v>123480</v>
      </c>
      <c r="I16" s="17">
        <v>4.6600000000000003E-2</v>
      </c>
      <c r="J16" s="10">
        <v>129240</v>
      </c>
      <c r="K16" s="16" t="s">
        <v>17</v>
      </c>
      <c r="L16" s="10" t="s">
        <v>18</v>
      </c>
      <c r="M16" s="16">
        <v>0.06</v>
      </c>
      <c r="N16" s="12">
        <f>J16*1.06</f>
        <v>136994.4</v>
      </c>
    </row>
    <row r="17" spans="1:14" x14ac:dyDescent="0.25">
      <c r="A17" s="6"/>
      <c r="B17" s="8">
        <v>126550</v>
      </c>
      <c r="C17" s="6">
        <v>668</v>
      </c>
      <c r="D17" s="6"/>
      <c r="E17" s="10" t="s">
        <v>34</v>
      </c>
      <c r="F17" s="6"/>
      <c r="G17" s="90">
        <v>2.5000000000000001E-2</v>
      </c>
      <c r="H17" s="10">
        <v>126564</v>
      </c>
      <c r="I17" s="17">
        <v>4.6600000000000003E-2</v>
      </c>
      <c r="J17" s="10">
        <v>132456</v>
      </c>
      <c r="K17" s="16" t="s">
        <v>17</v>
      </c>
      <c r="L17" s="10" t="s">
        <v>18</v>
      </c>
      <c r="M17" s="16">
        <v>0.06</v>
      </c>
      <c r="N17" s="12">
        <f>J17*1.06</f>
        <v>140403.36000000002</v>
      </c>
    </row>
    <row r="18" spans="1:14" x14ac:dyDescent="0.25">
      <c r="A18" s="6"/>
      <c r="B18" s="8">
        <v>126550</v>
      </c>
      <c r="C18" s="6">
        <v>668</v>
      </c>
      <c r="D18" s="6"/>
      <c r="E18" s="10" t="s">
        <v>35</v>
      </c>
      <c r="F18" s="6"/>
      <c r="G18" s="90">
        <v>2.5000000000000001E-2</v>
      </c>
      <c r="H18" s="10">
        <v>129660</v>
      </c>
      <c r="I18" s="17">
        <v>4.6600000000000003E-2</v>
      </c>
      <c r="J18" s="10">
        <v>135708</v>
      </c>
      <c r="K18" s="16" t="s">
        <v>17</v>
      </c>
      <c r="L18" s="10" t="s">
        <v>18</v>
      </c>
      <c r="M18" s="16">
        <v>0.06</v>
      </c>
      <c r="N18" s="12">
        <f>J18*1.06</f>
        <v>143850.48000000001</v>
      </c>
    </row>
    <row r="20" spans="1:14" x14ac:dyDescent="0.25">
      <c r="J20" s="95">
        <v>110069</v>
      </c>
    </row>
  </sheetData>
  <autoFilter ref="A1:N1" xr:uid="{00000000-0009-0000-0000-000004000000}">
    <sortState xmlns:xlrd2="http://schemas.microsoft.com/office/spreadsheetml/2017/richdata2" ref="A2:N18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3"/>
  <sheetViews>
    <sheetView topLeftCell="E1" workbookViewId="0">
      <pane ySplit="8" topLeftCell="A11" activePane="bottomLeft" state="frozen"/>
      <selection pane="bottomLeft" activeCell="I22" sqref="I22"/>
    </sheetView>
  </sheetViews>
  <sheetFormatPr defaultRowHeight="15" x14ac:dyDescent="0.25"/>
  <cols>
    <col min="1" max="1" width="18.5703125" customWidth="1"/>
    <col min="2" max="2" width="9.42578125" customWidth="1"/>
    <col min="3" max="3" width="13.42578125" customWidth="1"/>
    <col min="4" max="4" width="10.42578125" customWidth="1"/>
    <col min="5" max="5" width="16.140625" customWidth="1"/>
    <col min="6" max="6" width="14.5703125" customWidth="1"/>
    <col min="7" max="7" width="24.42578125" customWidth="1"/>
    <col min="8" max="8" width="23.42578125" customWidth="1"/>
    <col min="9" max="9" width="13.28515625" customWidth="1"/>
    <col min="10" max="10" width="19.85546875" customWidth="1"/>
    <col min="11" max="11" width="12.5703125" customWidth="1"/>
    <col min="12" max="12" width="11.7109375" customWidth="1"/>
    <col min="13" max="13" width="10.5703125" customWidth="1"/>
  </cols>
  <sheetData>
    <row r="1" spans="1:15" ht="60" x14ac:dyDescent="0.25">
      <c r="A1" s="49" t="s">
        <v>0</v>
      </c>
      <c r="B1" s="49" t="s">
        <v>43</v>
      </c>
      <c r="C1" t="s">
        <v>72</v>
      </c>
      <c r="D1" s="49" t="s">
        <v>44</v>
      </c>
      <c r="E1" s="49" t="s">
        <v>3</v>
      </c>
      <c r="F1" s="49" t="s">
        <v>5</v>
      </c>
      <c r="G1" s="50" t="s">
        <v>45</v>
      </c>
      <c r="H1" s="49" t="s">
        <v>172</v>
      </c>
      <c r="I1" s="49" t="s">
        <v>171</v>
      </c>
      <c r="J1" s="49" t="s">
        <v>187</v>
      </c>
      <c r="K1" s="49" t="s">
        <v>181</v>
      </c>
      <c r="L1" s="49" t="s">
        <v>53</v>
      </c>
      <c r="M1" s="49" t="s">
        <v>11</v>
      </c>
      <c r="N1" s="49" t="s">
        <v>12</v>
      </c>
      <c r="O1" s="49" t="s">
        <v>13</v>
      </c>
    </row>
    <row r="2" spans="1:15" x14ac:dyDescent="0.25">
      <c r="A2" s="6" t="s">
        <v>58</v>
      </c>
      <c r="B2" s="6">
        <v>349.56</v>
      </c>
      <c r="C2" s="223">
        <v>81030</v>
      </c>
      <c r="D2" s="9">
        <v>104.61</v>
      </c>
      <c r="E2" s="9" t="s">
        <v>24</v>
      </c>
      <c r="F2" s="9"/>
      <c r="G2" s="6"/>
      <c r="H2" s="1" t="s">
        <v>174</v>
      </c>
      <c r="I2" s="121">
        <v>180576</v>
      </c>
      <c r="J2" s="90">
        <v>3.3500000000000002E-2</v>
      </c>
      <c r="K2" s="121">
        <v>186720</v>
      </c>
      <c r="L2" s="16" t="s">
        <v>17</v>
      </c>
      <c r="M2" s="10" t="s">
        <v>18</v>
      </c>
      <c r="N2" s="16">
        <v>0.06</v>
      </c>
      <c r="O2" s="10">
        <f t="shared" ref="O2:O7" si="0">K2*1.06</f>
        <v>197923.20000000001</v>
      </c>
    </row>
    <row r="3" spans="1:15" x14ac:dyDescent="0.25">
      <c r="A3" s="6" t="s">
        <v>19</v>
      </c>
      <c r="B3" s="9">
        <v>445</v>
      </c>
      <c r="C3" s="223">
        <v>88799</v>
      </c>
      <c r="D3" s="9">
        <v>70</v>
      </c>
      <c r="E3" s="9" t="s">
        <v>15</v>
      </c>
      <c r="F3" s="9"/>
      <c r="G3" s="6"/>
      <c r="H3" s="13">
        <v>0.04</v>
      </c>
      <c r="I3" s="121">
        <v>124176</v>
      </c>
      <c r="J3" s="90">
        <v>8.1000000000000003E-2</v>
      </c>
      <c r="K3" s="121">
        <v>134304</v>
      </c>
      <c r="L3" s="16" t="s">
        <v>17</v>
      </c>
      <c r="M3" s="10" t="s">
        <v>18</v>
      </c>
      <c r="N3" s="16">
        <v>0.06</v>
      </c>
      <c r="O3" s="10">
        <f t="shared" si="0"/>
        <v>142362.24000000002</v>
      </c>
    </row>
    <row r="4" spans="1:15" x14ac:dyDescent="0.25">
      <c r="A4" s="6" t="s">
        <v>23</v>
      </c>
      <c r="B4" s="9">
        <v>438.87</v>
      </c>
      <c r="C4" s="223">
        <v>87416</v>
      </c>
      <c r="D4" s="9">
        <v>91.22</v>
      </c>
      <c r="E4" s="9" t="s">
        <v>24</v>
      </c>
      <c r="F4" s="9" t="s">
        <v>41</v>
      </c>
      <c r="G4" s="6" t="s">
        <v>153</v>
      </c>
      <c r="H4" s="13">
        <v>0.11</v>
      </c>
      <c r="I4" s="121">
        <v>147190.09</v>
      </c>
      <c r="J4" s="90">
        <v>2.4E-2</v>
      </c>
      <c r="K4" s="158">
        <v>150722.66</v>
      </c>
      <c r="L4" s="224">
        <v>0.06</v>
      </c>
      <c r="M4" s="10">
        <f>K4*1.06</f>
        <v>159766.0196</v>
      </c>
      <c r="N4" s="16">
        <v>0.06</v>
      </c>
      <c r="O4" s="10">
        <f t="shared" si="0"/>
        <v>159766.0196</v>
      </c>
    </row>
    <row r="5" spans="1:15" x14ac:dyDescent="0.25">
      <c r="A5" s="6" t="s">
        <v>20</v>
      </c>
      <c r="B5" s="9">
        <v>699.74</v>
      </c>
      <c r="C5" s="223">
        <v>109682</v>
      </c>
      <c r="D5" s="9">
        <v>92.6</v>
      </c>
      <c r="E5" s="9" t="s">
        <v>15</v>
      </c>
      <c r="F5" s="9" t="s">
        <v>66</v>
      </c>
      <c r="G5" s="6" t="s">
        <v>55</v>
      </c>
      <c r="H5" s="188">
        <v>3.5000000000000003E-2</v>
      </c>
      <c r="I5" s="236">
        <v>155599</v>
      </c>
      <c r="J5" s="90">
        <v>0.09</v>
      </c>
      <c r="K5" s="121">
        <v>169626</v>
      </c>
      <c r="L5" s="16">
        <v>0.1</v>
      </c>
      <c r="M5" s="10">
        <f>K5*1.1</f>
        <v>186588.6</v>
      </c>
      <c r="N5" s="16">
        <v>0.06</v>
      </c>
      <c r="O5" s="10">
        <f t="shared" si="0"/>
        <v>179803.56</v>
      </c>
    </row>
    <row r="6" spans="1:15" x14ac:dyDescent="0.25">
      <c r="A6" s="6" t="s">
        <v>36</v>
      </c>
      <c r="B6" s="9">
        <v>528.35</v>
      </c>
      <c r="C6" s="223">
        <v>111129</v>
      </c>
      <c r="D6" s="9">
        <v>152</v>
      </c>
      <c r="E6" s="9" t="s">
        <v>15</v>
      </c>
      <c r="F6" s="9"/>
      <c r="G6" s="6"/>
      <c r="H6" s="225">
        <v>0.06</v>
      </c>
      <c r="I6" s="121">
        <v>157466.82</v>
      </c>
      <c r="J6" s="90">
        <v>0.03</v>
      </c>
      <c r="K6" s="121">
        <v>162198.39999999999</v>
      </c>
      <c r="L6" s="16" t="s">
        <v>17</v>
      </c>
      <c r="M6" s="10" t="s">
        <v>18</v>
      </c>
      <c r="N6" s="16">
        <v>0.06</v>
      </c>
      <c r="O6" s="10">
        <f t="shared" si="0"/>
        <v>171930.304</v>
      </c>
    </row>
    <row r="7" spans="1:15" x14ac:dyDescent="0.25">
      <c r="A7" s="7" t="s">
        <v>33</v>
      </c>
      <c r="B7" s="6">
        <v>745</v>
      </c>
      <c r="C7" s="223">
        <v>130848</v>
      </c>
      <c r="D7" s="6">
        <f>46+11+5+15</f>
        <v>77</v>
      </c>
      <c r="E7" s="9" t="s">
        <v>15</v>
      </c>
      <c r="F7" s="10" t="s">
        <v>29</v>
      </c>
      <c r="G7" s="6"/>
      <c r="H7" s="226">
        <v>0.03</v>
      </c>
      <c r="I7" s="121">
        <v>143772</v>
      </c>
      <c r="J7" s="90">
        <v>0.03</v>
      </c>
      <c r="K7" s="121">
        <v>148080</v>
      </c>
      <c r="L7" s="16" t="s">
        <v>17</v>
      </c>
      <c r="M7" s="10" t="s">
        <v>18</v>
      </c>
      <c r="N7" s="16">
        <v>0.06</v>
      </c>
      <c r="O7" s="10">
        <f t="shared" si="0"/>
        <v>156964.80000000002</v>
      </c>
    </row>
    <row r="9" spans="1:15" x14ac:dyDescent="0.25">
      <c r="K9" s="95"/>
    </row>
    <row r="10" spans="1:15" ht="15.75" thickBot="1" x14ac:dyDescent="0.3">
      <c r="B10" s="72"/>
      <c r="C10" s="235"/>
      <c r="J10" s="96" t="s">
        <v>82</v>
      </c>
      <c r="L10" s="112">
        <v>204968.61</v>
      </c>
    </row>
    <row r="11" spans="1:15" ht="15.75" thickBot="1" x14ac:dyDescent="0.3">
      <c r="L11" s="174" t="s">
        <v>80</v>
      </c>
      <c r="M11" s="175"/>
      <c r="N11" s="176" t="s">
        <v>81</v>
      </c>
    </row>
    <row r="12" spans="1:15" ht="15.75" thickBot="1" x14ac:dyDescent="0.3">
      <c r="J12" s="113" t="s">
        <v>83</v>
      </c>
      <c r="K12" s="113" t="s">
        <v>84</v>
      </c>
      <c r="L12" s="194">
        <v>142700</v>
      </c>
      <c r="M12" s="195"/>
      <c r="N12" s="196">
        <v>204968</v>
      </c>
    </row>
    <row r="13" spans="1:15" x14ac:dyDescent="0.25">
      <c r="J13" s="114"/>
      <c r="K13" s="113"/>
      <c r="L13" s="147"/>
      <c r="M13" s="147"/>
      <c r="N13" s="147"/>
    </row>
    <row r="14" spans="1:15" x14ac:dyDescent="0.25">
      <c r="A14" s="105" t="s">
        <v>167</v>
      </c>
      <c r="C14" s="69">
        <f>AVERAGE(K2,K3,K4,K5,K6,K7)</f>
        <v>158608.51</v>
      </c>
      <c r="D14" s="106"/>
      <c r="E14" s="106"/>
      <c r="J14" s="114"/>
      <c r="K14" s="113"/>
      <c r="L14" s="193"/>
      <c r="M14" s="193"/>
      <c r="N14" s="193"/>
    </row>
    <row r="15" spans="1:15" x14ac:dyDescent="0.25">
      <c r="A15" s="109" t="s">
        <v>165</v>
      </c>
      <c r="B15" s="107"/>
      <c r="C15" s="239">
        <f>AVERAGE(K5,K6,K7)</f>
        <v>159968.13333333333</v>
      </c>
      <c r="D15" s="109"/>
      <c r="E15" s="109"/>
      <c r="F15" s="107"/>
    </row>
    <row r="16" spans="1:15" x14ac:dyDescent="0.25">
      <c r="A16" s="110" t="s">
        <v>164</v>
      </c>
      <c r="B16" s="108"/>
      <c r="C16" s="240">
        <f>AVERAGE(K2,K3,K4)</f>
        <v>157248.88666666669</v>
      </c>
      <c r="D16" s="110"/>
      <c r="E16" s="110"/>
      <c r="F16" s="108"/>
    </row>
    <row r="20" spans="1:15" x14ac:dyDescent="0.25">
      <c r="A20" s="6" t="s">
        <v>40</v>
      </c>
      <c r="B20" s="1">
        <v>613.75</v>
      </c>
      <c r="C20" s="223">
        <v>98573</v>
      </c>
      <c r="D20" s="9">
        <v>89</v>
      </c>
      <c r="E20" s="9" t="s">
        <v>24</v>
      </c>
      <c r="F20" s="6"/>
      <c r="G20" s="6"/>
      <c r="H20" s="13">
        <v>0.39</v>
      </c>
      <c r="I20" s="241">
        <v>207018.3</v>
      </c>
      <c r="J20" s="177"/>
      <c r="K20" s="177"/>
      <c r="L20" s="16">
        <v>0.03</v>
      </c>
      <c r="M20" s="10">
        <f>I20*1.03</f>
        <v>213228.84899999999</v>
      </c>
      <c r="N20" s="16">
        <v>0.06</v>
      </c>
      <c r="O20" s="10">
        <f>I20*1.06</f>
        <v>219439.39799999999</v>
      </c>
    </row>
    <row r="21" spans="1:15" ht="45" x14ac:dyDescent="0.25">
      <c r="H21" s="159" t="s">
        <v>155</v>
      </c>
    </row>
    <row r="22" spans="1:15" x14ac:dyDescent="0.25">
      <c r="G22" t="s">
        <v>176</v>
      </c>
      <c r="H22" s="90">
        <v>7.6999999999999999E-2</v>
      </c>
      <c r="I22" s="10">
        <v>148733.20000000001</v>
      </c>
    </row>
    <row r="28" spans="1:15" x14ac:dyDescent="0.25">
      <c r="B28" s="72"/>
    </row>
    <row r="29" spans="1:15" x14ac:dyDescent="0.25">
      <c r="B29" s="72"/>
      <c r="I29" s="158"/>
    </row>
    <row r="30" spans="1:15" x14ac:dyDescent="0.25">
      <c r="B30" s="72"/>
    </row>
    <row r="31" spans="1:15" x14ac:dyDescent="0.25">
      <c r="B31" s="72"/>
    </row>
    <row r="32" spans="1:15" x14ac:dyDescent="0.25">
      <c r="B32" s="72"/>
    </row>
    <row r="33" spans="2:2" x14ac:dyDescent="0.25">
      <c r="B33" s="72"/>
    </row>
  </sheetData>
  <autoFilter ref="A1:O1" xr:uid="{00000000-0009-0000-0000-000005000000}">
    <sortState xmlns:xlrd2="http://schemas.microsoft.com/office/spreadsheetml/2017/richdata2" ref="A2:N11">
      <sortCondition ref="B1"/>
    </sortState>
  </autoFilter>
  <pageMargins left="0.25" right="0.25" top="0.75" bottom="0.75" header="0.3" footer="0.3"/>
  <pageSetup paperSize="1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P84"/>
  <sheetViews>
    <sheetView topLeftCell="A61" workbookViewId="0">
      <selection activeCell="F65" sqref="F65"/>
    </sheetView>
  </sheetViews>
  <sheetFormatPr defaultRowHeight="15" x14ac:dyDescent="0.25"/>
  <cols>
    <col min="1" max="1" width="12.28515625" customWidth="1"/>
    <col min="2" max="2" width="18.5703125" customWidth="1"/>
    <col min="3" max="5" width="11.42578125" customWidth="1"/>
    <col min="6" max="6" width="10.7109375" customWidth="1"/>
    <col min="7" max="7" width="11.5703125" customWidth="1"/>
    <col min="8" max="8" width="13.42578125" customWidth="1"/>
    <col min="9" max="9" width="11.28515625" customWidth="1"/>
    <col min="10" max="10" width="11.5703125" customWidth="1"/>
    <col min="11" max="11" width="11.42578125" customWidth="1"/>
    <col min="12" max="12" width="11.5703125" customWidth="1"/>
    <col min="13" max="13" width="13.140625" customWidth="1"/>
    <col min="14" max="14" width="11" customWidth="1"/>
    <col min="15" max="15" width="12.5703125" customWidth="1"/>
    <col min="16" max="16" width="8" customWidth="1"/>
  </cols>
  <sheetData>
    <row r="3" spans="1:7" x14ac:dyDescent="0.25">
      <c r="A3" t="s">
        <v>85</v>
      </c>
    </row>
    <row r="5" spans="1:7" ht="45" x14ac:dyDescent="0.25">
      <c r="A5" s="1" t="s">
        <v>86</v>
      </c>
      <c r="B5" s="160" t="s">
        <v>87</v>
      </c>
      <c r="C5" s="160" t="s">
        <v>88</v>
      </c>
      <c r="D5" s="1" t="s">
        <v>89</v>
      </c>
      <c r="E5" s="160" t="s">
        <v>90</v>
      </c>
      <c r="F5" s="234" t="s">
        <v>91</v>
      </c>
    </row>
    <row r="6" spans="1:7" x14ac:dyDescent="0.25">
      <c r="A6" s="233">
        <v>45474</v>
      </c>
      <c r="B6" s="160"/>
      <c r="C6" s="160">
        <v>100792</v>
      </c>
      <c r="D6" s="1">
        <v>103816</v>
      </c>
      <c r="E6" s="160">
        <v>106931</v>
      </c>
      <c r="F6" s="234">
        <v>0.03</v>
      </c>
    </row>
    <row r="7" spans="1:7" x14ac:dyDescent="0.25">
      <c r="A7" s="233">
        <v>45108</v>
      </c>
      <c r="B7" s="160"/>
      <c r="C7" s="14">
        <v>97857</v>
      </c>
      <c r="D7" s="14">
        <v>100792</v>
      </c>
      <c r="E7" s="14">
        <v>103816</v>
      </c>
      <c r="F7" s="244">
        <v>4.5999999999999999E-2</v>
      </c>
    </row>
    <row r="8" spans="1:7" x14ac:dyDescent="0.25">
      <c r="A8" s="233">
        <v>44743</v>
      </c>
      <c r="B8" s="160"/>
      <c r="C8" s="116">
        <f>90828.36/12</f>
        <v>7569.03</v>
      </c>
      <c r="D8" s="121">
        <f>93553.21/12</f>
        <v>7796.1008333333339</v>
      </c>
      <c r="E8" s="116">
        <f>96359.82/12</f>
        <v>8029.9850000000006</v>
      </c>
      <c r="F8" s="245">
        <v>1.2E-2</v>
      </c>
      <c r="G8" t="s">
        <v>161</v>
      </c>
    </row>
    <row r="9" spans="1:7" x14ac:dyDescent="0.25">
      <c r="A9" s="233">
        <v>44378</v>
      </c>
      <c r="B9" s="160"/>
      <c r="C9" s="116">
        <f>89751.34/12</f>
        <v>7479.2783333333327</v>
      </c>
      <c r="D9" s="121">
        <f>92443.88/12</f>
        <v>7703.6566666666668</v>
      </c>
      <c r="E9" s="116">
        <f>95217.21/12</f>
        <v>7934.7675000000008</v>
      </c>
      <c r="F9" s="245">
        <v>1.4999999999999999E-2</v>
      </c>
    </row>
    <row r="10" spans="1:7" x14ac:dyDescent="0.25">
      <c r="A10" s="233">
        <v>44013</v>
      </c>
      <c r="B10" s="160"/>
      <c r="C10" s="116">
        <f>88687.09/12</f>
        <v>7390.5908333333327</v>
      </c>
      <c r="D10" s="121">
        <f>91347.71/12</f>
        <v>7612.3091666666669</v>
      </c>
      <c r="E10" s="116">
        <f>94088.15/12</f>
        <v>7840.6791666666659</v>
      </c>
      <c r="F10" s="246">
        <v>0.01</v>
      </c>
    </row>
    <row r="11" spans="1:7" x14ac:dyDescent="0.25">
      <c r="A11" s="233">
        <v>43647</v>
      </c>
      <c r="B11" s="116"/>
      <c r="C11" s="116">
        <v>7317.42</v>
      </c>
      <c r="D11" s="117">
        <v>7757.16</v>
      </c>
      <c r="E11" s="118">
        <v>8195.94</v>
      </c>
      <c r="F11" s="245">
        <v>2.5000000000000001E-2</v>
      </c>
    </row>
    <row r="12" spans="1:7" x14ac:dyDescent="0.25">
      <c r="A12" s="233">
        <v>43282</v>
      </c>
      <c r="B12" s="119"/>
      <c r="C12" s="119">
        <v>7138.98</v>
      </c>
      <c r="D12" s="117">
        <v>7568</v>
      </c>
      <c r="E12" s="120">
        <v>7996.04</v>
      </c>
      <c r="F12" s="245">
        <v>0.02</v>
      </c>
    </row>
    <row r="13" spans="1:7" x14ac:dyDescent="0.25">
      <c r="A13" s="233">
        <v>42917</v>
      </c>
      <c r="B13" s="119"/>
      <c r="C13" s="119">
        <v>6999</v>
      </c>
      <c r="D13" s="117">
        <v>7420</v>
      </c>
      <c r="E13" s="120">
        <v>7839.22</v>
      </c>
      <c r="F13" s="245">
        <v>0</v>
      </c>
    </row>
    <row r="14" spans="1:7" x14ac:dyDescent="0.25">
      <c r="A14" s="233">
        <v>42552</v>
      </c>
      <c r="B14" s="119"/>
      <c r="C14" s="119">
        <v>6999</v>
      </c>
      <c r="D14" s="117">
        <v>7420</v>
      </c>
      <c r="E14" s="120">
        <v>7839.22</v>
      </c>
      <c r="F14" s="245">
        <v>0</v>
      </c>
    </row>
    <row r="15" spans="1:7" x14ac:dyDescent="0.25">
      <c r="A15" s="233">
        <v>42186</v>
      </c>
      <c r="B15" s="119"/>
      <c r="C15" s="119">
        <v>6999</v>
      </c>
      <c r="D15" s="117">
        <v>7420</v>
      </c>
      <c r="E15" s="120">
        <v>7839.22</v>
      </c>
      <c r="F15" s="245">
        <v>5.6500000000000002E-2</v>
      </c>
    </row>
    <row r="16" spans="1:7" x14ac:dyDescent="0.25">
      <c r="A16" s="233">
        <v>42005</v>
      </c>
      <c r="B16" s="121"/>
      <c r="C16" s="121">
        <v>6828.33</v>
      </c>
      <c r="D16" s="117"/>
      <c r="E16" s="117">
        <v>7238.26</v>
      </c>
      <c r="F16" s="226">
        <v>0</v>
      </c>
    </row>
    <row r="17" spans="1:16" x14ac:dyDescent="0.25">
      <c r="A17" s="233">
        <v>41883</v>
      </c>
      <c r="B17" s="119">
        <v>7238.26</v>
      </c>
      <c r="C17" s="119"/>
      <c r="D17" s="121"/>
      <c r="E17" s="119"/>
      <c r="F17" s="245">
        <v>6.0000000000000001E-3</v>
      </c>
    </row>
    <row r="18" spans="1:16" x14ac:dyDescent="0.25">
      <c r="A18" s="233">
        <v>41821</v>
      </c>
      <c r="B18" s="119">
        <v>6827.46</v>
      </c>
      <c r="C18" s="119"/>
      <c r="D18" s="121"/>
      <c r="E18" s="119"/>
      <c r="F18" s="245">
        <v>3.1E-2</v>
      </c>
    </row>
    <row r="19" spans="1:16" x14ac:dyDescent="0.25">
      <c r="A19" s="233">
        <v>41456</v>
      </c>
      <c r="B19" s="119">
        <v>6619.47</v>
      </c>
      <c r="C19" s="119"/>
      <c r="D19" s="121"/>
      <c r="E19" s="119"/>
      <c r="F19" s="245">
        <v>1.7000000000000001E-2</v>
      </c>
    </row>
    <row r="20" spans="1:16" x14ac:dyDescent="0.25">
      <c r="A20" s="233">
        <v>41091</v>
      </c>
      <c r="B20" s="119">
        <v>6506.8</v>
      </c>
      <c r="C20" s="119"/>
      <c r="D20" s="121"/>
      <c r="E20" s="119"/>
      <c r="F20" s="245">
        <v>2.1000000000000001E-2</v>
      </c>
    </row>
    <row r="21" spans="1:16" x14ac:dyDescent="0.25">
      <c r="A21" s="233">
        <v>40360</v>
      </c>
      <c r="B21" s="119">
        <v>6371.61</v>
      </c>
      <c r="C21" s="119"/>
      <c r="D21" s="121"/>
      <c r="E21" s="119"/>
      <c r="F21" s="245">
        <v>0.02</v>
      </c>
    </row>
    <row r="22" spans="1:16" x14ac:dyDescent="0.25">
      <c r="A22" s="66"/>
      <c r="C22" s="112"/>
    </row>
    <row r="23" spans="1:16" x14ac:dyDescent="0.25">
      <c r="A23" s="66"/>
      <c r="C23" s="112"/>
    </row>
    <row r="24" spans="1:16" hidden="1" x14ac:dyDescent="0.25">
      <c r="A24" s="66"/>
      <c r="C24" s="112"/>
    </row>
    <row r="25" spans="1:16" hidden="1" x14ac:dyDescent="0.25">
      <c r="A25" s="106" t="s">
        <v>92</v>
      </c>
      <c r="B25" s="66"/>
      <c r="C25" s="66"/>
      <c r="D25" s="66"/>
    </row>
    <row r="26" spans="1:16" hidden="1" x14ac:dyDescent="0.25">
      <c r="A26" s="106" t="s">
        <v>93</v>
      </c>
      <c r="C26" s="66"/>
      <c r="D26" s="66"/>
    </row>
    <row r="27" spans="1:16" ht="15" hidden="1" customHeight="1" x14ac:dyDescent="0.25">
      <c r="C27" s="114"/>
      <c r="D27" s="122" t="s">
        <v>94</v>
      </c>
      <c r="E27" s="114"/>
      <c r="F27" s="114"/>
      <c r="G27" s="114"/>
      <c r="H27" s="114"/>
      <c r="I27" s="250" t="s">
        <v>95</v>
      </c>
      <c r="J27" s="114"/>
      <c r="K27" s="114"/>
      <c r="N27" s="250" t="s">
        <v>96</v>
      </c>
      <c r="O27" s="250" t="s">
        <v>97</v>
      </c>
      <c r="P27" s="114"/>
    </row>
    <row r="28" spans="1:16" ht="15" hidden="1" customHeight="1" x14ac:dyDescent="0.25">
      <c r="C28" s="123" t="s">
        <v>98</v>
      </c>
      <c r="D28" s="122"/>
      <c r="E28" s="122" t="s">
        <v>99</v>
      </c>
      <c r="F28" s="122" t="s">
        <v>100</v>
      </c>
      <c r="G28" s="122" t="s">
        <v>101</v>
      </c>
      <c r="H28" s="122" t="s">
        <v>102</v>
      </c>
      <c r="I28" s="250"/>
      <c r="J28" s="122" t="s">
        <v>103</v>
      </c>
      <c r="K28" s="122" t="s">
        <v>104</v>
      </c>
      <c r="L28" s="122" t="s">
        <v>105</v>
      </c>
      <c r="M28" s="123" t="s">
        <v>106</v>
      </c>
      <c r="N28" s="250"/>
      <c r="O28" s="250"/>
      <c r="P28" s="114"/>
    </row>
    <row r="29" spans="1:16" ht="15" hidden="1" customHeight="1" x14ac:dyDescent="0.25">
      <c r="C29" s="113" t="s">
        <v>107</v>
      </c>
      <c r="D29" s="251" t="s">
        <v>108</v>
      </c>
      <c r="E29" s="251" t="s">
        <v>109</v>
      </c>
      <c r="F29" s="251" t="s">
        <v>110</v>
      </c>
      <c r="G29" s="251" t="s">
        <v>111</v>
      </c>
      <c r="H29" s="251" t="s">
        <v>112</v>
      </c>
      <c r="I29" s="251" t="s">
        <v>113</v>
      </c>
      <c r="J29" s="251" t="s">
        <v>114</v>
      </c>
      <c r="K29" s="251" t="s">
        <v>115</v>
      </c>
      <c r="L29" s="251" t="s">
        <v>116</v>
      </c>
      <c r="M29" s="251" t="s">
        <v>117</v>
      </c>
      <c r="N29" s="251" t="s">
        <v>118</v>
      </c>
      <c r="O29" s="251" t="s">
        <v>119</v>
      </c>
      <c r="P29" s="114"/>
    </row>
    <row r="30" spans="1:16" ht="27.75" hidden="1" customHeight="1" x14ac:dyDescent="0.25">
      <c r="A30" s="66"/>
      <c r="B30" s="66"/>
      <c r="C30" s="114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114"/>
    </row>
    <row r="31" spans="1:16" ht="14.25" hidden="1" customHeight="1" x14ac:dyDescent="0.25">
      <c r="A31" s="66"/>
      <c r="B31" s="66"/>
      <c r="C31" s="11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5"/>
      <c r="O31" s="124"/>
      <c r="P31" s="114"/>
    </row>
    <row r="32" spans="1:16" hidden="1" x14ac:dyDescent="0.25">
      <c r="A32" s="106" t="s">
        <v>120</v>
      </c>
      <c r="B32" s="66"/>
      <c r="C32" s="66"/>
      <c r="D32" s="66"/>
      <c r="L32" s="126"/>
      <c r="N32" s="127"/>
      <c r="O32" s="126"/>
    </row>
    <row r="33" spans="1:15" hidden="1" x14ac:dyDescent="0.25">
      <c r="A33" s="106" t="s">
        <v>93</v>
      </c>
      <c r="N33" s="127"/>
    </row>
    <row r="34" spans="1:15" ht="15" hidden="1" customHeight="1" x14ac:dyDescent="0.25">
      <c r="A34" s="114"/>
      <c r="B34" s="114"/>
      <c r="C34" s="114"/>
      <c r="D34" s="249" t="s">
        <v>94</v>
      </c>
      <c r="E34" s="114"/>
      <c r="F34" s="114"/>
      <c r="G34" s="114"/>
      <c r="H34" s="114"/>
      <c r="I34" s="128" t="s">
        <v>95</v>
      </c>
      <c r="J34" s="114"/>
      <c r="K34" s="114"/>
      <c r="L34" s="114"/>
      <c r="M34" s="114"/>
      <c r="N34" s="128" t="s">
        <v>96</v>
      </c>
      <c r="O34" s="129" t="s">
        <v>97</v>
      </c>
    </row>
    <row r="35" spans="1:15" ht="15" hidden="1" customHeight="1" x14ac:dyDescent="0.25">
      <c r="B35" s="129"/>
      <c r="C35" s="129" t="s">
        <v>98</v>
      </c>
      <c r="D35" s="249"/>
      <c r="E35" s="128" t="s">
        <v>99</v>
      </c>
      <c r="F35" s="128" t="s">
        <v>100</v>
      </c>
      <c r="G35" s="128" t="s">
        <v>101</v>
      </c>
      <c r="H35" s="128" t="s">
        <v>102</v>
      </c>
      <c r="I35" s="128"/>
      <c r="J35" s="128" t="s">
        <v>103</v>
      </c>
      <c r="K35" s="128" t="s">
        <v>104</v>
      </c>
      <c r="L35" s="128" t="s">
        <v>105</v>
      </c>
      <c r="M35" s="128" t="s">
        <v>106</v>
      </c>
      <c r="N35" s="128"/>
      <c r="O35" s="129"/>
    </row>
    <row r="36" spans="1:15" ht="15" hidden="1" customHeight="1" x14ac:dyDescent="0.25">
      <c r="A36" s="130"/>
      <c r="B36" s="114"/>
      <c r="C36" s="130" t="s">
        <v>107</v>
      </c>
      <c r="D36" s="256" t="s">
        <v>121</v>
      </c>
      <c r="E36" s="253" t="s">
        <v>122</v>
      </c>
      <c r="F36" s="253" t="s">
        <v>123</v>
      </c>
      <c r="G36" s="253" t="s">
        <v>124</v>
      </c>
      <c r="H36" s="253" t="s">
        <v>125</v>
      </c>
      <c r="I36" s="256" t="s">
        <v>126</v>
      </c>
      <c r="J36" s="256" t="s">
        <v>127</v>
      </c>
      <c r="K36" s="256" t="s">
        <v>128</v>
      </c>
      <c r="L36" s="256" t="s">
        <v>129</v>
      </c>
      <c r="M36" s="256" t="s">
        <v>130</v>
      </c>
      <c r="N36" s="256" t="s">
        <v>131</v>
      </c>
      <c r="O36" s="253" t="s">
        <v>119</v>
      </c>
    </row>
    <row r="37" spans="1:15" hidden="1" x14ac:dyDescent="0.25">
      <c r="A37" s="114"/>
      <c r="B37" s="114"/>
      <c r="C37" s="114"/>
      <c r="D37" s="257"/>
      <c r="E37" s="254"/>
      <c r="F37" s="254"/>
      <c r="G37" s="254"/>
      <c r="H37" s="254"/>
      <c r="I37" s="257"/>
      <c r="J37" s="257"/>
      <c r="K37" s="257"/>
      <c r="L37" s="257"/>
      <c r="M37" s="257"/>
      <c r="N37" s="257"/>
      <c r="O37" s="254"/>
    </row>
    <row r="38" spans="1:15" ht="21.75" hidden="1" customHeight="1" x14ac:dyDescent="0.25">
      <c r="A38" s="114"/>
      <c r="B38" s="114"/>
      <c r="C38" s="114"/>
      <c r="D38" s="258"/>
      <c r="E38" s="255"/>
      <c r="F38" s="255"/>
      <c r="G38" s="255"/>
      <c r="H38" s="255"/>
      <c r="I38" s="258"/>
      <c r="J38" s="258"/>
      <c r="K38" s="258"/>
      <c r="L38" s="258"/>
      <c r="M38" s="258"/>
      <c r="N38" s="258"/>
      <c r="O38" s="255"/>
    </row>
    <row r="39" spans="1:15" ht="21" hidden="1" customHeight="1" x14ac:dyDescent="0.25">
      <c r="A39" s="106" t="s">
        <v>157</v>
      </c>
      <c r="B39" s="66"/>
      <c r="C39" s="114"/>
      <c r="D39" s="131"/>
      <c r="E39" s="132"/>
      <c r="F39" s="132"/>
      <c r="G39" s="132"/>
      <c r="H39" s="132"/>
      <c r="I39" s="133"/>
      <c r="J39" s="133"/>
      <c r="K39" s="133"/>
      <c r="L39" s="133"/>
      <c r="M39" s="133"/>
      <c r="N39" s="133"/>
      <c r="O39" s="132"/>
    </row>
    <row r="40" spans="1:15" ht="21" hidden="1" customHeight="1" x14ac:dyDescent="0.25">
      <c r="A40" s="106" t="s">
        <v>132</v>
      </c>
      <c r="C40" s="114"/>
      <c r="D40" s="133"/>
      <c r="E40" s="132"/>
      <c r="F40" s="132"/>
      <c r="G40" s="132"/>
      <c r="H40" s="132"/>
      <c r="I40" s="133"/>
      <c r="J40" s="133"/>
      <c r="K40" s="133"/>
      <c r="L40" s="133"/>
      <c r="M40" s="133"/>
      <c r="N40" s="133"/>
      <c r="O40" s="132"/>
    </row>
    <row r="41" spans="1:15" ht="21" hidden="1" customHeight="1" x14ac:dyDescent="0.25">
      <c r="A41" s="114"/>
      <c r="B41" s="114"/>
      <c r="C41" s="129" t="s">
        <v>98</v>
      </c>
      <c r="D41" s="134" t="s">
        <v>133</v>
      </c>
      <c r="E41" s="132"/>
      <c r="F41" s="132"/>
      <c r="G41" s="132"/>
      <c r="H41" s="132"/>
      <c r="I41" s="134" t="s">
        <v>134</v>
      </c>
      <c r="J41" s="133"/>
      <c r="K41" s="133"/>
      <c r="L41" s="133"/>
      <c r="M41" s="133"/>
      <c r="N41" s="134" t="s">
        <v>135</v>
      </c>
      <c r="O41" s="135" t="s">
        <v>136</v>
      </c>
    </row>
    <row r="42" spans="1:15" ht="21" hidden="1" customHeight="1" x14ac:dyDescent="0.25">
      <c r="A42" s="114"/>
      <c r="B42" s="114"/>
      <c r="C42" s="136" t="s">
        <v>107</v>
      </c>
      <c r="D42" s="163">
        <v>97885.58</v>
      </c>
      <c r="E42" s="137"/>
      <c r="F42" s="137"/>
      <c r="G42" s="137"/>
      <c r="H42" s="137"/>
      <c r="I42" s="163">
        <v>127251.47</v>
      </c>
      <c r="J42" s="138"/>
      <c r="K42" s="138"/>
      <c r="L42" s="138"/>
      <c r="M42" s="138"/>
      <c r="N42" s="163">
        <v>156618.41</v>
      </c>
      <c r="O42" s="139">
        <v>0.6</v>
      </c>
    </row>
    <row r="43" spans="1:15" ht="15.75" hidden="1" customHeight="1" x14ac:dyDescent="0.25">
      <c r="A43" s="114"/>
      <c r="B43" s="114"/>
      <c r="C43" s="140"/>
      <c r="D43" s="164">
        <f>D42/12</f>
        <v>8157.1316666666671</v>
      </c>
      <c r="E43" s="132"/>
      <c r="F43" s="132"/>
      <c r="G43" s="132"/>
      <c r="H43" s="132"/>
      <c r="I43" s="164">
        <f t="shared" ref="I43" si="0">I42/12</f>
        <v>10604.289166666667</v>
      </c>
      <c r="J43" s="133"/>
      <c r="K43" s="133"/>
      <c r="L43" s="133"/>
      <c r="M43" s="133"/>
      <c r="N43" s="164">
        <f t="shared" ref="N43" si="1">N42/12</f>
        <v>13051.534166666666</v>
      </c>
      <c r="O43" s="141"/>
    </row>
    <row r="44" spans="1:15" ht="15.75" hidden="1" customHeight="1" x14ac:dyDescent="0.25">
      <c r="A44" s="114"/>
      <c r="B44" s="114"/>
      <c r="C44" s="142"/>
      <c r="D44" s="165">
        <f>D42/2080</f>
        <v>47.060375000000001</v>
      </c>
      <c r="E44" s="143"/>
      <c r="F44" s="143"/>
      <c r="G44" s="143"/>
      <c r="H44" s="143"/>
      <c r="I44" s="165">
        <f t="shared" ref="I44" si="2">I42/2080</f>
        <v>61.178591346153844</v>
      </c>
      <c r="J44" s="144"/>
      <c r="K44" s="144"/>
      <c r="L44" s="144"/>
      <c r="M44" s="144"/>
      <c r="N44" s="165">
        <v>75.290000000000006</v>
      </c>
      <c r="O44" s="145"/>
    </row>
    <row r="45" spans="1:15" ht="19.5" hidden="1" customHeight="1" x14ac:dyDescent="0.25">
      <c r="A45" s="114"/>
      <c r="B45" s="114"/>
      <c r="C45" s="114"/>
      <c r="D45" s="133"/>
      <c r="E45" s="132"/>
      <c r="F45" s="132"/>
      <c r="G45" s="132"/>
      <c r="H45" s="132"/>
      <c r="I45" s="133"/>
      <c r="J45" s="133"/>
      <c r="K45" s="133"/>
      <c r="L45" s="133"/>
      <c r="M45" s="133"/>
      <c r="N45" s="133"/>
      <c r="O45" s="132"/>
    </row>
    <row r="46" spans="1:15" ht="21" customHeight="1" x14ac:dyDescent="0.25">
      <c r="A46" s="106" t="s">
        <v>156</v>
      </c>
      <c r="B46" s="66"/>
      <c r="C46" s="114"/>
      <c r="D46" s="131"/>
      <c r="E46" s="132"/>
      <c r="F46" s="132"/>
      <c r="G46" s="132"/>
      <c r="H46" s="132"/>
      <c r="I46" s="133"/>
      <c r="J46" s="133"/>
      <c r="K46" s="133"/>
      <c r="L46" s="133"/>
      <c r="M46" s="133"/>
      <c r="N46" s="133"/>
      <c r="O46" s="132"/>
    </row>
    <row r="47" spans="1:15" ht="21" customHeight="1" x14ac:dyDescent="0.25">
      <c r="A47" s="106" t="s">
        <v>137</v>
      </c>
      <c r="C47" s="114"/>
      <c r="D47" s="133"/>
      <c r="E47" s="132"/>
      <c r="F47" s="132"/>
      <c r="G47" s="132"/>
      <c r="H47" s="132"/>
      <c r="I47" s="133"/>
      <c r="J47" s="133"/>
      <c r="K47" s="133"/>
      <c r="L47" s="133"/>
      <c r="M47" s="133"/>
      <c r="N47" s="133"/>
      <c r="O47" s="132"/>
    </row>
    <row r="48" spans="1:15" ht="21" customHeight="1" x14ac:dyDescent="0.25">
      <c r="A48" s="114"/>
      <c r="B48" s="114"/>
      <c r="C48" s="129" t="s">
        <v>98</v>
      </c>
      <c r="D48" s="134" t="s">
        <v>133</v>
      </c>
      <c r="E48" s="132"/>
      <c r="F48" s="132"/>
      <c r="G48" s="132"/>
      <c r="H48" s="132"/>
      <c r="I48" s="134" t="s">
        <v>134</v>
      </c>
      <c r="J48" s="133"/>
      <c r="K48" s="133"/>
      <c r="L48" s="133"/>
      <c r="M48" s="133"/>
      <c r="N48" s="134" t="s">
        <v>135</v>
      </c>
      <c r="O48" s="135" t="s">
        <v>136</v>
      </c>
    </row>
    <row r="49" spans="1:16" ht="21" customHeight="1" x14ac:dyDescent="0.25">
      <c r="A49" s="114"/>
      <c r="B49" s="114"/>
      <c r="C49" s="146" t="s">
        <v>107</v>
      </c>
      <c r="D49" s="210">
        <v>107814.9</v>
      </c>
      <c r="E49" s="197"/>
      <c r="F49" s="197"/>
      <c r="G49" s="198"/>
      <c r="H49" s="197"/>
      <c r="I49" s="210">
        <v>140159.60999999999</v>
      </c>
      <c r="J49" s="197"/>
      <c r="K49" s="198"/>
      <c r="L49" s="197"/>
      <c r="M49" s="197"/>
      <c r="N49" s="210">
        <v>172505.47</v>
      </c>
      <c r="O49" s="199" t="s">
        <v>119</v>
      </c>
    </row>
    <row r="50" spans="1:16" ht="15.75" customHeight="1" x14ac:dyDescent="0.25">
      <c r="A50" s="114"/>
      <c r="B50" s="114"/>
      <c r="C50" s="200"/>
      <c r="D50" s="201">
        <f>D49/12</f>
        <v>8984.5749999999989</v>
      </c>
      <c r="E50" s="202"/>
      <c r="F50" s="202"/>
      <c r="G50" s="203"/>
      <c r="H50" s="202"/>
      <c r="I50" s="201">
        <f t="shared" ref="I50" si="3">I49/12</f>
        <v>11679.967499999999</v>
      </c>
      <c r="J50" s="202"/>
      <c r="K50" s="203"/>
      <c r="L50" s="202"/>
      <c r="M50" s="202"/>
      <c r="N50" s="201">
        <f t="shared" ref="N50" si="4">N49/12</f>
        <v>14375.455833333333</v>
      </c>
      <c r="O50" s="204"/>
    </row>
    <row r="51" spans="1:16" ht="15.75" customHeight="1" x14ac:dyDescent="0.25">
      <c r="A51" s="114"/>
      <c r="B51" s="114"/>
      <c r="C51" s="205"/>
      <c r="D51" s="206">
        <f>D49/2080</f>
        <v>51.834086538461534</v>
      </c>
      <c r="E51" s="207"/>
      <c r="F51" s="207"/>
      <c r="G51" s="208"/>
      <c r="H51" s="207"/>
      <c r="I51" s="206">
        <f t="shared" ref="I51" si="5">I49/2080</f>
        <v>67.384427884615377</v>
      </c>
      <c r="J51" s="207"/>
      <c r="K51" s="208"/>
      <c r="L51" s="207"/>
      <c r="M51" s="207"/>
      <c r="N51" s="206">
        <v>82.93</v>
      </c>
      <c r="O51" s="209"/>
    </row>
    <row r="52" spans="1:16" ht="21" customHeight="1" x14ac:dyDescent="0.25">
      <c r="A52" s="114"/>
      <c r="B52" s="114"/>
      <c r="C52" s="114"/>
      <c r="D52" s="133"/>
      <c r="E52" s="132"/>
      <c r="F52" s="132"/>
      <c r="G52" s="132"/>
      <c r="H52" s="132"/>
      <c r="I52" s="133"/>
      <c r="J52" s="133"/>
      <c r="K52" s="133"/>
      <c r="L52" s="133"/>
      <c r="M52" s="133"/>
      <c r="N52" s="133"/>
      <c r="O52" s="132"/>
    </row>
    <row r="53" spans="1:16" x14ac:dyDescent="0.25">
      <c r="A53" s="106" t="s">
        <v>178</v>
      </c>
      <c r="B53" s="66"/>
      <c r="C53" s="114"/>
      <c r="D53" s="131"/>
      <c r="E53" s="132"/>
      <c r="F53" s="132"/>
      <c r="G53" s="132"/>
      <c r="H53" s="132"/>
      <c r="I53" s="133"/>
      <c r="J53" s="133"/>
      <c r="K53" s="133"/>
      <c r="L53" s="133"/>
      <c r="M53" s="252" t="s">
        <v>179</v>
      </c>
      <c r="N53" s="252"/>
      <c r="O53" s="252"/>
      <c r="P53" s="135" t="s">
        <v>136</v>
      </c>
    </row>
    <row r="54" spans="1:16" ht="15.75" x14ac:dyDescent="0.25">
      <c r="A54" s="106" t="s">
        <v>137</v>
      </c>
      <c r="D54" s="211">
        <v>1</v>
      </c>
      <c r="E54" s="211">
        <v>2</v>
      </c>
      <c r="F54" s="211">
        <v>3</v>
      </c>
      <c r="G54" s="211">
        <v>4</v>
      </c>
      <c r="H54" s="211">
        <v>5</v>
      </c>
      <c r="I54" s="211">
        <v>6</v>
      </c>
      <c r="J54" s="211">
        <v>7</v>
      </c>
      <c r="K54" s="211">
        <v>8</v>
      </c>
      <c r="L54" s="211">
        <v>9</v>
      </c>
      <c r="M54" s="212">
        <v>10</v>
      </c>
      <c r="N54" s="212">
        <v>11</v>
      </c>
      <c r="O54" s="212">
        <v>12</v>
      </c>
      <c r="P54" s="199" t="s">
        <v>119</v>
      </c>
    </row>
    <row r="55" spans="1:16" ht="15" customHeight="1" x14ac:dyDescent="0.25">
      <c r="A55" s="114"/>
      <c r="B55" s="114"/>
      <c r="C55" s="146" t="s">
        <v>107</v>
      </c>
      <c r="D55" s="210">
        <f>D57*2080</f>
        <v>142700.06400000001</v>
      </c>
      <c r="E55" s="210">
        <f t="shared" ref="E55:O55" si="6">E57*2080</f>
        <v>150483.63199999998</v>
      </c>
      <c r="F55" s="210">
        <f t="shared" si="6"/>
        <v>158267.20000000001</v>
      </c>
      <c r="G55" s="210">
        <f t="shared" si="6"/>
        <v>166050.76799999998</v>
      </c>
      <c r="H55" s="210">
        <f t="shared" si="6"/>
        <v>173834.33600000001</v>
      </c>
      <c r="I55" s="210">
        <f t="shared" si="6"/>
        <v>181617.90400000001</v>
      </c>
      <c r="J55" s="210">
        <f t="shared" si="6"/>
        <v>189401.47200000001</v>
      </c>
      <c r="K55" s="210">
        <f t="shared" si="6"/>
        <v>197185.04</v>
      </c>
      <c r="L55" s="210">
        <f t="shared" si="6"/>
        <v>204968.60799999998</v>
      </c>
      <c r="M55" s="213">
        <f t="shared" si="6"/>
        <v>212752.17600000001</v>
      </c>
      <c r="N55" s="213">
        <f t="shared" si="6"/>
        <v>220535.74399999998</v>
      </c>
      <c r="O55" s="219">
        <f t="shared" si="6"/>
        <v>228320.144</v>
      </c>
      <c r="P55" s="204"/>
    </row>
    <row r="56" spans="1:16" x14ac:dyDescent="0.25">
      <c r="A56" s="114"/>
      <c r="B56" s="114"/>
      <c r="C56" s="200"/>
      <c r="D56" s="214">
        <f>D55/12</f>
        <v>11891.672</v>
      </c>
      <c r="E56" s="214">
        <f t="shared" ref="E56:O56" si="7">E55/12</f>
        <v>12540.302666666665</v>
      </c>
      <c r="F56" s="214">
        <f t="shared" si="7"/>
        <v>13188.933333333334</v>
      </c>
      <c r="G56" s="214">
        <f t="shared" si="7"/>
        <v>13837.563999999998</v>
      </c>
      <c r="H56" s="214">
        <f t="shared" si="7"/>
        <v>14486.194666666668</v>
      </c>
      <c r="I56" s="214">
        <f t="shared" si="7"/>
        <v>15134.825333333334</v>
      </c>
      <c r="J56" s="214">
        <f t="shared" si="7"/>
        <v>15783.456</v>
      </c>
      <c r="K56" s="214">
        <f t="shared" si="7"/>
        <v>16432.086666666666</v>
      </c>
      <c r="L56" s="214">
        <f t="shared" si="7"/>
        <v>17080.71733333333</v>
      </c>
      <c r="M56" s="215">
        <f t="shared" si="7"/>
        <v>17729.348000000002</v>
      </c>
      <c r="N56" s="215">
        <f t="shared" si="7"/>
        <v>18377.978666666666</v>
      </c>
      <c r="O56" s="220">
        <f t="shared" si="7"/>
        <v>19026.678666666667</v>
      </c>
      <c r="P56" s="204"/>
    </row>
    <row r="57" spans="1:16" x14ac:dyDescent="0.25">
      <c r="A57" s="114"/>
      <c r="B57" s="114"/>
      <c r="C57" s="205"/>
      <c r="D57" s="216">
        <v>68.605800000000002</v>
      </c>
      <c r="E57" s="216">
        <v>72.347899999999996</v>
      </c>
      <c r="F57" s="216">
        <v>76.09</v>
      </c>
      <c r="G57" s="216">
        <v>79.832099999999997</v>
      </c>
      <c r="H57" s="216">
        <v>83.574200000000005</v>
      </c>
      <c r="I57" s="216">
        <v>87.316299999999998</v>
      </c>
      <c r="J57" s="216">
        <v>91.058400000000006</v>
      </c>
      <c r="K57" s="216">
        <v>94.8005</v>
      </c>
      <c r="L57" s="216">
        <v>98.542599999999993</v>
      </c>
      <c r="M57" s="217">
        <v>102.2847</v>
      </c>
      <c r="N57" s="217">
        <v>106.02679999999999</v>
      </c>
      <c r="O57" s="221">
        <v>109.7693</v>
      </c>
      <c r="P57" s="218"/>
    </row>
    <row r="58" spans="1:16" x14ac:dyDescent="0.25">
      <c r="A58" s="114"/>
      <c r="B58" s="114"/>
    </row>
    <row r="59" spans="1:16" ht="18" customHeight="1" x14ac:dyDescent="0.25"/>
    <row r="60" spans="1:16" x14ac:dyDescent="0.25">
      <c r="A60" s="106" t="s">
        <v>189</v>
      </c>
      <c r="B60" s="66"/>
      <c r="C60" s="129"/>
      <c r="D60" s="134"/>
      <c r="E60" s="132"/>
      <c r="F60" s="132"/>
      <c r="G60" s="132"/>
      <c r="H60" s="132"/>
      <c r="I60" s="133"/>
      <c r="J60" s="133"/>
      <c r="K60" s="133"/>
      <c r="L60" s="133"/>
      <c r="M60" s="133"/>
      <c r="O60" s="134"/>
    </row>
    <row r="61" spans="1:16" ht="14.45" customHeight="1" x14ac:dyDescent="0.25">
      <c r="A61" s="106" t="s">
        <v>188</v>
      </c>
      <c r="C61" s="114"/>
      <c r="D61" s="133"/>
      <c r="E61" s="132"/>
      <c r="F61" s="132"/>
      <c r="G61" s="132"/>
      <c r="H61" s="132"/>
      <c r="I61" s="133"/>
      <c r="J61" s="133"/>
      <c r="K61" s="133"/>
      <c r="L61" s="133"/>
      <c r="M61" s="252"/>
      <c r="N61" s="252"/>
      <c r="O61" s="252"/>
      <c r="P61" s="135"/>
    </row>
    <row r="62" spans="1:16" x14ac:dyDescent="0.25">
      <c r="A62" s="114"/>
      <c r="B62" s="114"/>
    </row>
    <row r="63" spans="1:16" x14ac:dyDescent="0.25">
      <c r="A63" s="114"/>
      <c r="B63" s="114"/>
    </row>
    <row r="64" spans="1:16" x14ac:dyDescent="0.25">
      <c r="A64" s="114"/>
      <c r="B64" s="114"/>
    </row>
    <row r="65" spans="1:13" x14ac:dyDescent="0.25">
      <c r="A65" s="114"/>
      <c r="B65" s="114"/>
    </row>
    <row r="68" spans="1:13" x14ac:dyDescent="0.25">
      <c r="A68" t="s">
        <v>138</v>
      </c>
      <c r="D68" t="s">
        <v>139</v>
      </c>
      <c r="H68" t="s">
        <v>140</v>
      </c>
      <c r="L68" t="s">
        <v>141</v>
      </c>
    </row>
    <row r="71" spans="1:13" x14ac:dyDescent="0.25">
      <c r="A71" s="48" t="s">
        <v>86</v>
      </c>
      <c r="B71" s="48" t="s">
        <v>91</v>
      </c>
      <c r="D71" s="48" t="s">
        <v>86</v>
      </c>
      <c r="E71" s="48" t="s">
        <v>91</v>
      </c>
      <c r="H71" s="48" t="s">
        <v>86</v>
      </c>
      <c r="I71" s="48" t="s">
        <v>91</v>
      </c>
      <c r="L71" s="48" t="s">
        <v>86</v>
      </c>
      <c r="M71" s="48" t="s">
        <v>91</v>
      </c>
    </row>
    <row r="72" spans="1:13" x14ac:dyDescent="0.25">
      <c r="A72" s="149">
        <v>45839</v>
      </c>
      <c r="B72" s="1" t="s">
        <v>192</v>
      </c>
      <c r="D72" s="149">
        <v>45839</v>
      </c>
      <c r="E72" s="17">
        <v>3.3500000000000002E-2</v>
      </c>
      <c r="H72" s="149">
        <v>45839</v>
      </c>
      <c r="I72" s="13">
        <v>0.04</v>
      </c>
      <c r="L72" s="1"/>
      <c r="M72" s="1" t="s">
        <v>193</v>
      </c>
    </row>
    <row r="73" spans="1:13" x14ac:dyDescent="0.25">
      <c r="A73" s="149">
        <v>45292</v>
      </c>
      <c r="B73" s="1" t="s">
        <v>177</v>
      </c>
      <c r="D73" s="149">
        <v>45474</v>
      </c>
      <c r="E73" s="1" t="s">
        <v>191</v>
      </c>
      <c r="H73" s="149">
        <v>45474</v>
      </c>
      <c r="I73" s="13">
        <v>0.04</v>
      </c>
      <c r="L73" s="149">
        <v>45474</v>
      </c>
      <c r="M73" s="17">
        <v>3.5000000000000003E-2</v>
      </c>
    </row>
    <row r="74" spans="1:13" x14ac:dyDescent="0.25">
      <c r="A74" s="149">
        <v>45108</v>
      </c>
      <c r="B74" s="161">
        <v>4.5999999999999999E-2</v>
      </c>
      <c r="D74" s="149">
        <v>45108</v>
      </c>
      <c r="E74" s="17">
        <v>3.2500000000000001E-2</v>
      </c>
      <c r="H74" s="149">
        <v>45108</v>
      </c>
      <c r="I74" s="13">
        <v>0.04</v>
      </c>
      <c r="L74" s="149">
        <v>45108</v>
      </c>
      <c r="M74" s="17">
        <v>3.5000000000000003E-2</v>
      </c>
    </row>
    <row r="75" spans="1:13" x14ac:dyDescent="0.25">
      <c r="A75" s="149">
        <v>44743</v>
      </c>
      <c r="B75" s="161">
        <v>5.2999999999999999E-2</v>
      </c>
      <c r="D75" s="149">
        <v>44743</v>
      </c>
      <c r="E75" s="90">
        <v>0.03</v>
      </c>
      <c r="H75" s="149">
        <v>44743</v>
      </c>
      <c r="I75" s="13">
        <v>0.05</v>
      </c>
      <c r="L75" s="149">
        <v>44743</v>
      </c>
      <c r="M75" s="17">
        <v>0.02</v>
      </c>
    </row>
    <row r="76" spans="1:13" x14ac:dyDescent="0.25">
      <c r="A76" s="149">
        <v>44378</v>
      </c>
      <c r="B76" s="161">
        <v>2.9000000000000001E-2</v>
      </c>
      <c r="D76" s="149">
        <v>44378</v>
      </c>
      <c r="E76" s="17">
        <v>3.5000000000000003E-2</v>
      </c>
      <c r="H76" s="149">
        <v>44378</v>
      </c>
      <c r="I76" s="13">
        <v>0.04</v>
      </c>
      <c r="L76" s="149">
        <v>44378</v>
      </c>
      <c r="M76" s="17" t="s">
        <v>158</v>
      </c>
    </row>
    <row r="77" spans="1:13" x14ac:dyDescent="0.25">
      <c r="A77" s="148">
        <v>44013</v>
      </c>
      <c r="B77" s="161">
        <v>2.7E-2</v>
      </c>
      <c r="D77" s="148">
        <v>44013</v>
      </c>
      <c r="E77" s="13">
        <v>0.01</v>
      </c>
      <c r="H77" s="148">
        <v>44013</v>
      </c>
      <c r="I77" s="13">
        <v>0.04</v>
      </c>
      <c r="L77" s="148">
        <v>44013</v>
      </c>
      <c r="M77" s="1" t="s">
        <v>142</v>
      </c>
    </row>
    <row r="78" spans="1:13" x14ac:dyDescent="0.25">
      <c r="A78" s="148">
        <v>43647</v>
      </c>
      <c r="B78" s="161">
        <v>2.9000000000000001E-2</v>
      </c>
      <c r="D78" s="148">
        <v>43647</v>
      </c>
      <c r="E78" s="17">
        <v>1.2500000000000001E-2</v>
      </c>
      <c r="H78" s="148">
        <v>43647</v>
      </c>
      <c r="I78" s="13">
        <v>0.03</v>
      </c>
      <c r="L78" s="148">
        <v>43647</v>
      </c>
      <c r="M78" s="13">
        <v>0.02</v>
      </c>
    </row>
    <row r="79" spans="1:13" x14ac:dyDescent="0.25">
      <c r="A79" s="149">
        <v>43282</v>
      </c>
      <c r="B79" s="161">
        <v>2.8000000000000001E-2</v>
      </c>
      <c r="D79" s="149">
        <v>43282</v>
      </c>
      <c r="E79" s="90">
        <v>1.4999999999999999E-2</v>
      </c>
      <c r="H79" s="149">
        <v>43282</v>
      </c>
      <c r="I79" s="13">
        <v>0.02</v>
      </c>
      <c r="L79" s="149">
        <v>43282</v>
      </c>
      <c r="M79" s="13">
        <v>0.02</v>
      </c>
    </row>
    <row r="80" spans="1:13" x14ac:dyDescent="0.25">
      <c r="A80" s="149">
        <v>42917</v>
      </c>
      <c r="B80" s="161">
        <v>0</v>
      </c>
      <c r="D80" s="149">
        <v>42917</v>
      </c>
      <c r="E80" s="13">
        <v>0</v>
      </c>
      <c r="H80" s="149">
        <v>42917</v>
      </c>
      <c r="I80" s="162">
        <v>2.2499999999999999E-2</v>
      </c>
      <c r="L80" s="149">
        <v>42917</v>
      </c>
      <c r="M80" s="189">
        <v>0</v>
      </c>
    </row>
    <row r="81" spans="1:13" x14ac:dyDescent="0.25">
      <c r="A81" s="149">
        <v>42552</v>
      </c>
      <c r="B81" s="161">
        <v>2.3E-2</v>
      </c>
      <c r="D81" s="149">
        <v>42552</v>
      </c>
      <c r="E81" s="13">
        <v>0</v>
      </c>
      <c r="H81" s="149">
        <v>42552</v>
      </c>
      <c r="I81" s="17">
        <v>1.7500000000000002E-2</v>
      </c>
      <c r="L81" s="149">
        <v>42552</v>
      </c>
      <c r="M81" s="13">
        <v>0</v>
      </c>
    </row>
    <row r="82" spans="1:13" x14ac:dyDescent="0.25">
      <c r="A82" s="149">
        <v>42186</v>
      </c>
      <c r="B82" s="161">
        <v>2.5000000000000001E-2</v>
      </c>
      <c r="D82" s="149">
        <v>42186</v>
      </c>
      <c r="E82" s="13">
        <v>0.01</v>
      </c>
      <c r="H82" s="149">
        <v>42186</v>
      </c>
      <c r="I82" s="90">
        <v>0.02</v>
      </c>
      <c r="L82" s="149">
        <v>42186</v>
      </c>
      <c r="M82" s="90">
        <v>1.4999999999999999E-2</v>
      </c>
    </row>
    <row r="83" spans="1:13" x14ac:dyDescent="0.25">
      <c r="A83" s="148">
        <v>41883</v>
      </c>
      <c r="B83" s="161">
        <v>1.7000000000000001E-2</v>
      </c>
      <c r="D83" s="148">
        <v>41883</v>
      </c>
      <c r="E83" s="13">
        <v>0.02</v>
      </c>
      <c r="H83" s="149">
        <v>41883</v>
      </c>
      <c r="I83" s="90">
        <v>1.4999999999999999E-2</v>
      </c>
      <c r="L83" s="148">
        <v>41883</v>
      </c>
      <c r="M83" s="90">
        <v>1.4999999999999999E-2</v>
      </c>
    </row>
    <row r="84" spans="1:13" x14ac:dyDescent="0.25">
      <c r="A84" s="148">
        <v>41456</v>
      </c>
      <c r="B84" s="161">
        <v>3.2000000000000001E-2</v>
      </c>
      <c r="D84" s="148">
        <v>41456</v>
      </c>
      <c r="E84" s="90">
        <v>3.2000000000000001E-2</v>
      </c>
      <c r="H84" s="149">
        <v>41456</v>
      </c>
      <c r="I84" s="90">
        <v>0.01</v>
      </c>
      <c r="L84" s="148">
        <v>41456</v>
      </c>
      <c r="M84" s="90">
        <v>3.5000000000000003E-2</v>
      </c>
    </row>
  </sheetData>
  <mergeCells count="30">
    <mergeCell ref="M61:O61"/>
    <mergeCell ref="O36:O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N36:N38"/>
    <mergeCell ref="M53:O53"/>
    <mergeCell ref="D34:D35"/>
    <mergeCell ref="I27:I28"/>
    <mergeCell ref="N27:N28"/>
    <mergeCell ref="O27:O28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</mergeCells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C17" sqref="C17"/>
    </sheetView>
  </sheetViews>
  <sheetFormatPr defaultRowHeight="15" x14ac:dyDescent="0.25"/>
  <cols>
    <col min="2" max="2" width="9.7109375" customWidth="1"/>
    <col min="3" max="3" width="27.85546875" customWidth="1"/>
  </cols>
  <sheetData>
    <row r="1" spans="1:3" x14ac:dyDescent="0.25">
      <c r="A1" s="150" t="s">
        <v>143</v>
      </c>
      <c r="B1" s="115" t="s">
        <v>91</v>
      </c>
      <c r="C1" s="151" t="s">
        <v>144</v>
      </c>
    </row>
    <row r="2" spans="1:3" x14ac:dyDescent="0.25">
      <c r="A2" s="166">
        <v>2024</v>
      </c>
      <c r="B2" s="171">
        <v>4.7E-2</v>
      </c>
      <c r="C2" s="167" t="s">
        <v>159</v>
      </c>
    </row>
    <row r="3" spans="1:3" x14ac:dyDescent="0.25">
      <c r="A3" s="166">
        <v>2023</v>
      </c>
      <c r="B3" s="222">
        <v>4.5999999999999996</v>
      </c>
      <c r="C3" s="167" t="s">
        <v>159</v>
      </c>
    </row>
    <row r="4" spans="1:3" x14ac:dyDescent="0.25">
      <c r="A4" s="166">
        <v>2022</v>
      </c>
      <c r="B4" s="170">
        <v>0.01</v>
      </c>
      <c r="C4" s="167" t="s">
        <v>159</v>
      </c>
    </row>
    <row r="5" spans="1:3" x14ac:dyDescent="0.25">
      <c r="A5" s="166">
        <v>2021</v>
      </c>
      <c r="B5" s="169">
        <v>1.4999999999999999E-2</v>
      </c>
      <c r="C5" s="167" t="s">
        <v>159</v>
      </c>
    </row>
    <row r="6" spans="1:3" x14ac:dyDescent="0.25">
      <c r="A6" s="166">
        <v>2020</v>
      </c>
      <c r="B6" s="168">
        <v>0.01</v>
      </c>
      <c r="C6" s="167" t="s">
        <v>159</v>
      </c>
    </row>
    <row r="7" spans="1:3" x14ac:dyDescent="0.25">
      <c r="A7" s="152">
        <v>2019</v>
      </c>
      <c r="B7" s="13">
        <v>0.1</v>
      </c>
      <c r="C7" s="153" t="s">
        <v>145</v>
      </c>
    </row>
    <row r="8" spans="1:3" x14ac:dyDescent="0.25">
      <c r="A8" s="152">
        <v>2018</v>
      </c>
      <c r="B8" s="13">
        <v>0.26</v>
      </c>
      <c r="C8" s="153" t="s">
        <v>145</v>
      </c>
    </row>
    <row r="9" spans="1:3" x14ac:dyDescent="0.25">
      <c r="A9" s="152">
        <v>2017</v>
      </c>
      <c r="B9" s="90">
        <v>2.3E-2</v>
      </c>
      <c r="C9" s="153" t="s">
        <v>146</v>
      </c>
    </row>
    <row r="10" spans="1:3" x14ac:dyDescent="0.25">
      <c r="A10" s="152">
        <v>2016</v>
      </c>
      <c r="B10" s="13">
        <v>0</v>
      </c>
      <c r="C10" s="153" t="s">
        <v>147</v>
      </c>
    </row>
    <row r="11" spans="1:3" x14ac:dyDescent="0.25">
      <c r="A11" s="152">
        <v>2015</v>
      </c>
      <c r="B11" s="90">
        <v>2.5000000000000001E-2</v>
      </c>
      <c r="C11" s="153" t="s">
        <v>148</v>
      </c>
    </row>
    <row r="12" spans="1:3" x14ac:dyDescent="0.25">
      <c r="A12" s="152">
        <v>2014</v>
      </c>
      <c r="B12" s="154">
        <v>3300</v>
      </c>
      <c r="C12" s="153" t="s">
        <v>149</v>
      </c>
    </row>
    <row r="13" spans="1:3" x14ac:dyDescent="0.25">
      <c r="A13" s="152">
        <v>2013</v>
      </c>
      <c r="B13" s="90">
        <v>1.7000000000000001E-2</v>
      </c>
      <c r="C13" s="153" t="s">
        <v>150</v>
      </c>
    </row>
    <row r="14" spans="1:3" ht="15.75" thickBot="1" x14ac:dyDescent="0.3">
      <c r="A14" s="155">
        <v>2012</v>
      </c>
      <c r="B14" s="156">
        <v>2.1000000000000001E-2</v>
      </c>
      <c r="C14" s="157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"/>
  <sheetViews>
    <sheetView workbookViewId="0">
      <selection activeCell="D8" sqref="D8"/>
    </sheetView>
  </sheetViews>
  <sheetFormatPr defaultRowHeight="15" x14ac:dyDescent="0.25"/>
  <cols>
    <col min="1" max="1" width="15" customWidth="1"/>
    <col min="2" max="2" width="11.85546875" customWidth="1"/>
    <col min="3" max="3" width="28" style="66" customWidth="1"/>
  </cols>
  <sheetData>
    <row r="1" spans="1:3" x14ac:dyDescent="0.25">
      <c r="A1" s="150" t="s">
        <v>143</v>
      </c>
      <c r="B1" s="115" t="s">
        <v>91</v>
      </c>
      <c r="C1" s="151" t="s">
        <v>144</v>
      </c>
    </row>
    <row r="2" spans="1:3" x14ac:dyDescent="0.25">
      <c r="A2" s="166">
        <v>2024</v>
      </c>
      <c r="B2" s="168">
        <v>0.01</v>
      </c>
      <c r="C2" s="167" t="s">
        <v>160</v>
      </c>
    </row>
    <row r="3" spans="1:3" x14ac:dyDescent="0.25">
      <c r="A3" s="166">
        <v>2023</v>
      </c>
      <c r="B3" s="168">
        <v>0.01</v>
      </c>
      <c r="C3" s="167" t="s">
        <v>160</v>
      </c>
    </row>
    <row r="4" spans="1:3" x14ac:dyDescent="0.25">
      <c r="A4" s="166">
        <v>2022</v>
      </c>
      <c r="B4" s="243">
        <v>1.4999999999999999E-2</v>
      </c>
      <c r="C4" s="167" t="s">
        <v>159</v>
      </c>
    </row>
    <row r="5" spans="1:3" x14ac:dyDescent="0.25">
      <c r="A5" s="166">
        <v>2021</v>
      </c>
      <c r="B5" s="168">
        <v>0.01</v>
      </c>
      <c r="C5" s="167" t="s">
        <v>160</v>
      </c>
    </row>
    <row r="6" spans="1:3" x14ac:dyDescent="0.25">
      <c r="A6" s="166">
        <v>2020</v>
      </c>
      <c r="B6" s="168">
        <v>0.04</v>
      </c>
      <c r="C6" s="167" t="s">
        <v>160</v>
      </c>
    </row>
    <row r="7" spans="1:3" x14ac:dyDescent="0.25">
      <c r="A7" s="152">
        <v>2019</v>
      </c>
      <c r="B7" s="13">
        <v>0.02</v>
      </c>
      <c r="C7" s="153"/>
    </row>
    <row r="8" spans="1:3" x14ac:dyDescent="0.25">
      <c r="A8" s="152">
        <v>2018</v>
      </c>
      <c r="B8" s="13">
        <v>0.02</v>
      </c>
      <c r="C8" s="153" t="s">
        <v>151</v>
      </c>
    </row>
    <row r="9" spans="1:3" x14ac:dyDescent="0.25">
      <c r="A9" s="152">
        <v>2017</v>
      </c>
      <c r="B9" s="90">
        <v>0.01</v>
      </c>
      <c r="C9" s="153" t="s">
        <v>152</v>
      </c>
    </row>
    <row r="10" spans="1:3" x14ac:dyDescent="0.25">
      <c r="A10" s="152">
        <v>2016</v>
      </c>
      <c r="B10" s="13">
        <v>0</v>
      </c>
      <c r="C10" s="153" t="s">
        <v>151</v>
      </c>
    </row>
    <row r="11" spans="1:3" x14ac:dyDescent="0.25">
      <c r="A11" s="152">
        <v>2015</v>
      </c>
      <c r="B11" s="90">
        <v>2.5000000000000001E-2</v>
      </c>
      <c r="C11" s="153" t="s">
        <v>151</v>
      </c>
    </row>
    <row r="12" spans="1:3" x14ac:dyDescent="0.25">
      <c r="A12" s="152">
        <v>2014</v>
      </c>
      <c r="B12" s="13">
        <v>3.1600000000000003E-2</v>
      </c>
      <c r="C12" s="153" t="s">
        <v>151</v>
      </c>
    </row>
    <row r="13" spans="1:3" x14ac:dyDescent="0.25">
      <c r="A13" s="152">
        <v>2013</v>
      </c>
      <c r="B13" s="90">
        <v>1.7000000000000001E-2</v>
      </c>
      <c r="C13" s="15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By FTE</vt:lpstr>
      <vt:lpstr>CO worksheet</vt:lpstr>
      <vt:lpstr>DA by FTE</vt:lpstr>
      <vt:lpstr>DA worksheet</vt:lpstr>
      <vt:lpstr>SO by FTE</vt:lpstr>
      <vt:lpstr>SO Worksheet</vt:lpstr>
      <vt:lpstr>CO History</vt:lpstr>
      <vt:lpstr>DA History</vt:lpstr>
      <vt:lpstr>SO History</vt:lpstr>
    </vt:vector>
  </TitlesOfParts>
  <Company>Benton County -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 Tammy</dc:creator>
  <cp:lastModifiedBy>FERRER-SANTAINES Jennifer</cp:lastModifiedBy>
  <cp:lastPrinted>2020-08-19T16:53:08Z</cp:lastPrinted>
  <dcterms:created xsi:type="dcterms:W3CDTF">2020-08-13T20:07:10Z</dcterms:created>
  <dcterms:modified xsi:type="dcterms:W3CDTF">2025-10-08T14:53:05Z</dcterms:modified>
</cp:coreProperties>
</file>